
<file path=[Content_Types].xml><?xml version="1.0" encoding="utf-8"?>
<Types xmlns="http://schemas.openxmlformats.org/package/2006/content-types">
  <Override PartName="/xl/pivotTables/pivotTable6.xml" ContentType="application/vnd.openxmlformats-officedocument.spreadsheetml.pivotTable+xml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4.xml" ContentType="application/vnd.openxmlformats-officedocument.spreadsheetml.pivotTable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4.xml" ContentType="application/vnd.openxmlformats-officedocument.spreadsheetml.pivotCacheDefinitio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comments2.xml" ContentType="application/vnd.openxmlformats-officedocument.spreadsheetml.comments+xml"/>
  <Override PartName="/xl/pivotTables/pivotTable13.xml" ContentType="application/vnd.openxmlformats-officedocument.spreadsheetml.pivotTable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pivotCache/pivotCacheRecords4.xml" ContentType="application/vnd.openxmlformats-officedocument.spreadsheetml.pivotCacheRecords+xml"/>
  <Override PartName="/xl/sharedStrings.xml" ContentType="application/vnd.openxmlformats-officedocument.spreadsheetml.sharedStrings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pivotTables/pivotTable5.xml" ContentType="application/vnd.openxmlformats-officedocument.spreadsheetml.pivotTable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pivotTables/pivotTable3.xml" ContentType="application/vnd.openxmlformats-officedocument.spreadsheetml.pivotTable+xml"/>
  <Override PartName="/xl/charts/chart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255" yWindow="-105" windowWidth="12120" windowHeight="9120" tabRatio="829" activeTab="5"/>
  </bookViews>
  <sheets>
    <sheet name="  data  " sheetId="1" r:id="rId1"/>
    <sheet name="  data  no zero" sheetId="59" r:id="rId2"/>
    <sheet name="Sheet3" sheetId="62" r:id="rId3"/>
    <sheet name="pivot charts" sheetId="58" r:id="rId4"/>
    <sheet name="mummichogs" sheetId="57" r:id="rId5"/>
    <sheet name="species diversity" sheetId="56" r:id="rId6"/>
    <sheet name="Sheet2" sheetId="61" r:id="rId7"/>
  </sheets>
  <definedNames>
    <definedName name="_xlnm._FilterDatabase" localSheetId="0" hidden="1">'  data  '!$A$7:$CA$381</definedName>
    <definedName name="_xlnm._FilterDatabase" localSheetId="1" hidden="1">'  data  no zero'!$A$7:$CA$382</definedName>
    <definedName name="_xlnm.Print_Area" localSheetId="4">mummichogs!$A$1:$H$153</definedName>
  </definedNames>
  <calcPr calcId="125725"/>
  <pivotCaches>
    <pivotCache cacheId="24" r:id="rId8"/>
    <pivotCache cacheId="19" r:id="rId9"/>
    <pivotCache cacheId="20" r:id="rId10"/>
    <pivotCache cacheId="23" r:id="rId11"/>
  </pivotCaches>
  <fileRecoveryPr repairLoad="1"/>
</workbook>
</file>

<file path=xl/calcChain.xml><?xml version="1.0" encoding="utf-8"?>
<calcChain xmlns="http://schemas.openxmlformats.org/spreadsheetml/2006/main">
  <c r="L48" i="58"/>
  <c r="K48"/>
  <c r="N47"/>
  <c r="N46"/>
  <c r="N45"/>
  <c r="N44"/>
  <c r="N43"/>
  <c r="N42"/>
  <c r="N41"/>
  <c r="N40"/>
  <c r="N39"/>
  <c r="N38"/>
  <c r="N37"/>
  <c r="N36"/>
  <c r="N35"/>
  <c r="N34"/>
  <c r="N33"/>
  <c r="N32"/>
  <c r="N31"/>
  <c r="L236"/>
  <c r="M237"/>
  <c r="N237"/>
  <c r="O237"/>
  <c r="P237"/>
  <c r="Q237"/>
  <c r="R237"/>
  <c r="S237"/>
  <c r="T237"/>
  <c r="U237"/>
  <c r="V237"/>
  <c r="W237"/>
  <c r="X237"/>
  <c r="Y237"/>
  <c r="Z237"/>
  <c r="AA237"/>
  <c r="AB237"/>
  <c r="L238"/>
  <c r="M238"/>
  <c r="N238"/>
  <c r="O238"/>
  <c r="P238"/>
  <c r="Q238"/>
  <c r="R238"/>
  <c r="S238"/>
  <c r="T238"/>
  <c r="U238"/>
  <c r="V238"/>
  <c r="W238"/>
  <c r="X238"/>
  <c r="Y238"/>
  <c r="Z238"/>
  <c r="AA238"/>
  <c r="AB238"/>
  <c r="L239"/>
  <c r="M239"/>
  <c r="N239"/>
  <c r="O239"/>
  <c r="P239"/>
  <c r="Q239"/>
  <c r="R239"/>
  <c r="S239"/>
  <c r="T239"/>
  <c r="U239"/>
  <c r="V239"/>
  <c r="W239"/>
  <c r="X239"/>
  <c r="Y239"/>
  <c r="Z239"/>
  <c r="AA239"/>
  <c r="AB239"/>
  <c r="V197"/>
  <c r="W197"/>
  <c r="X197"/>
  <c r="Y197"/>
  <c r="Z197"/>
  <c r="AA197"/>
  <c r="AB197"/>
  <c r="AC197"/>
  <c r="AD197"/>
  <c r="AE197"/>
  <c r="AF197"/>
  <c r="AG197"/>
  <c r="AH197"/>
  <c r="AI197"/>
  <c r="AJ197"/>
  <c r="AK197"/>
  <c r="AL197"/>
  <c r="U198"/>
  <c r="AD198"/>
  <c r="AI198"/>
  <c r="AL198"/>
  <c r="U199"/>
  <c r="V199"/>
  <c r="W199"/>
  <c r="X199"/>
  <c r="Y199"/>
  <c r="Z199"/>
  <c r="AA199"/>
  <c r="AB199"/>
  <c r="AC199"/>
  <c r="AD199"/>
  <c r="AE199"/>
  <c r="AF199"/>
  <c r="AG199"/>
  <c r="AH199"/>
  <c r="AI199"/>
  <c r="AJ199"/>
  <c r="AK199"/>
  <c r="AL199"/>
  <c r="U200"/>
  <c r="V200"/>
  <c r="W200"/>
  <c r="X200"/>
  <c r="Y200"/>
  <c r="Z200"/>
  <c r="AA200"/>
  <c r="AB200"/>
  <c r="AC200"/>
  <c r="AD200"/>
  <c r="AE200"/>
  <c r="AF200"/>
  <c r="AG200"/>
  <c r="AH200"/>
  <c r="AI200"/>
  <c r="AJ200"/>
  <c r="AK200"/>
  <c r="AL200"/>
  <c r="U201"/>
  <c r="V201"/>
  <c r="W201"/>
  <c r="X201"/>
  <c r="Y201"/>
  <c r="Z201"/>
  <c r="AA201"/>
  <c r="AB201"/>
  <c r="AC201"/>
  <c r="AD201"/>
  <c r="AE201"/>
  <c r="AF201"/>
  <c r="AG201"/>
  <c r="AH201"/>
  <c r="AI201"/>
  <c r="AJ201"/>
  <c r="AK201"/>
  <c r="AL201"/>
  <c r="AL409" i="59"/>
  <c r="AL410" i="1"/>
  <c r="AJ410"/>
  <c r="AL409"/>
  <c r="AJ409"/>
  <c r="AJ408"/>
  <c r="AL411" i="59"/>
  <c r="AL410"/>
  <c r="AJ411"/>
  <c r="AJ410"/>
  <c r="AJ409"/>
  <c r="AL407" i="1"/>
  <c r="AJ407"/>
  <c r="AL406"/>
  <c r="AJ406"/>
  <c r="AL405"/>
  <c r="AJ405"/>
  <c r="AL408" i="59"/>
  <c r="AL407"/>
  <c r="AL406"/>
  <c r="AJ406"/>
  <c r="AJ407"/>
  <c r="AJ408"/>
  <c r="AL404" i="1"/>
  <c r="AJ404"/>
  <c r="AL403"/>
  <c r="AJ403"/>
  <c r="AL402"/>
  <c r="AJ402"/>
  <c r="AL405" i="59"/>
  <c r="AL404"/>
  <c r="AL403"/>
  <c r="AJ405"/>
  <c r="AJ404"/>
  <c r="AJ403"/>
  <c r="AL401" i="1"/>
  <c r="AJ401"/>
  <c r="AJ400"/>
  <c r="AL399"/>
  <c r="AJ399"/>
  <c r="AL398"/>
  <c r="AJ398"/>
  <c r="AL402" i="59"/>
  <c r="AL400"/>
  <c r="AL399"/>
  <c r="AJ402"/>
  <c r="AJ401"/>
  <c r="AJ400"/>
  <c r="AJ399"/>
  <c r="I170" i="58"/>
  <c r="J170"/>
  <c r="I171"/>
  <c r="J171"/>
  <c r="I172"/>
  <c r="J172"/>
  <c r="I173"/>
  <c r="J173"/>
  <c r="I174"/>
  <c r="J174"/>
  <c r="I175"/>
  <c r="J175"/>
  <c r="I176"/>
  <c r="J176"/>
  <c r="I177"/>
  <c r="J177"/>
  <c r="I178"/>
  <c r="J178"/>
  <c r="I179"/>
  <c r="J179"/>
  <c r="I180"/>
  <c r="J180"/>
  <c r="I181"/>
  <c r="J181"/>
  <c r="I182"/>
  <c r="J182"/>
  <c r="I183"/>
  <c r="J183"/>
  <c r="I184"/>
  <c r="J184"/>
  <c r="I185"/>
  <c r="J185"/>
  <c r="I186"/>
  <c r="J186"/>
  <c r="I187"/>
  <c r="J187"/>
  <c r="V35"/>
  <c r="U35"/>
  <c r="T35"/>
  <c r="AL387" i="59"/>
  <c r="AJ387"/>
  <c r="AL386"/>
  <c r="AJ386"/>
  <c r="AL385"/>
  <c r="AJ385"/>
  <c r="AL386" i="1"/>
  <c r="AL385"/>
  <c r="AL384"/>
  <c r="AJ382"/>
  <c r="AJ383"/>
  <c r="AJ384"/>
  <c r="AJ385"/>
  <c r="AJ386"/>
  <c r="AL384" i="59"/>
  <c r="AL383"/>
  <c r="AL383" i="1"/>
  <c r="AL382"/>
  <c r="AD2"/>
  <c r="L217" i="58"/>
  <c r="M217"/>
  <c r="AL382" i="59"/>
  <c r="AJ382"/>
  <c r="AJ381"/>
  <c r="AL380"/>
  <c r="AJ380"/>
  <c r="AL379"/>
  <c r="AJ379"/>
  <c r="AL378"/>
  <c r="AJ378"/>
  <c r="AL377"/>
  <c r="AJ377"/>
  <c r="AJ376"/>
  <c r="AL375"/>
  <c r="AJ375"/>
  <c r="AL374"/>
  <c r="AJ374"/>
  <c r="AL373"/>
  <c r="AJ373"/>
  <c r="AL370"/>
  <c r="AJ370"/>
  <c r="AJ369"/>
  <c r="AL368"/>
  <c r="AJ368"/>
  <c r="AL367"/>
  <c r="AJ367"/>
  <c r="AL379" i="1"/>
  <c r="AL381"/>
  <c r="AL378"/>
  <c r="AL377"/>
  <c r="AL376"/>
  <c r="AL374"/>
  <c r="AJ381"/>
  <c r="AJ377"/>
  <c r="AL373"/>
  <c r="AL372"/>
  <c r="AJ373"/>
  <c r="AJ374"/>
  <c r="AJ375"/>
  <c r="AJ376"/>
  <c r="AJ378"/>
  <c r="AJ379"/>
  <c r="AJ380"/>
  <c r="AJ372"/>
  <c r="AL369"/>
  <c r="AL367"/>
  <c r="AL366"/>
  <c r="AJ366"/>
  <c r="AJ367"/>
  <c r="AJ368"/>
  <c r="AJ369"/>
  <c r="AJ190" i="59"/>
  <c r="AJ189"/>
  <c r="AJ188"/>
  <c r="AJ187"/>
  <c r="AJ186"/>
  <c r="AJ185"/>
  <c r="AJ184"/>
  <c r="AJ183"/>
  <c r="AJ182"/>
  <c r="AJ181"/>
  <c r="AJ180"/>
  <c r="AJ179"/>
  <c r="AJ178"/>
  <c r="AJ177"/>
  <c r="AJ189" i="1"/>
  <c r="AJ183"/>
  <c r="AJ184"/>
  <c r="AJ185"/>
  <c r="AJ186"/>
  <c r="AJ187"/>
  <c r="AJ188"/>
  <c r="AJ182"/>
  <c r="AJ178"/>
  <c r="AJ179"/>
  <c r="AJ180"/>
  <c r="AJ181"/>
  <c r="AJ177"/>
  <c r="AJ176"/>
  <c r="U195" i="58"/>
  <c r="AJ362" i="59"/>
  <c r="AJ361"/>
  <c r="AJ360"/>
  <c r="AJ359"/>
  <c r="AJ366"/>
  <c r="AJ365"/>
  <c r="AJ364"/>
  <c r="AJ363"/>
  <c r="AJ364" i="1"/>
  <c r="AJ365"/>
  <c r="AJ363"/>
  <c r="AJ362"/>
  <c r="AJ361"/>
  <c r="AJ359"/>
  <c r="AJ360"/>
  <c r="AJ358"/>
  <c r="AJ358" i="59"/>
  <c r="AJ357"/>
  <c r="AJ356"/>
  <c r="AJ355"/>
  <c r="AJ357" i="1"/>
  <c r="AJ356"/>
  <c r="AJ355"/>
  <c r="AJ353"/>
  <c r="AJ354"/>
  <c r="AJ353" i="59"/>
  <c r="AJ352" i="1"/>
  <c r="AJ352" i="59"/>
  <c r="AJ351" i="1"/>
  <c r="AJ351" i="59"/>
  <c r="AJ350" i="1"/>
  <c r="J191" i="58"/>
  <c r="I191"/>
  <c r="H191"/>
  <c r="J189"/>
  <c r="I189"/>
  <c r="H189"/>
  <c r="J188"/>
  <c r="I188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AL345" i="1"/>
  <c r="AJ345"/>
  <c r="AL344"/>
  <c r="AJ344"/>
  <c r="AJ343"/>
  <c r="AL342"/>
  <c r="AJ342"/>
  <c r="AL346" i="59"/>
  <c r="AL345"/>
  <c r="AL343"/>
  <c r="AJ346"/>
  <c r="AJ345"/>
  <c r="AJ344"/>
  <c r="AJ343"/>
  <c r="AJ338" i="1"/>
  <c r="AL338"/>
  <c r="AN338"/>
  <c r="AJ339"/>
  <c r="AL339"/>
  <c r="AJ340"/>
  <c r="AL340"/>
  <c r="AJ341"/>
  <c r="AL341"/>
  <c r="AL349"/>
  <c r="AJ349"/>
  <c r="AL348"/>
  <c r="AJ348"/>
  <c r="AJ347"/>
  <c r="AL346"/>
  <c r="AJ346"/>
  <c r="AL350" i="59"/>
  <c r="AL349"/>
  <c r="AL347"/>
  <c r="AJ350"/>
  <c r="AJ349"/>
  <c r="AJ348"/>
  <c r="AJ347"/>
  <c r="AN339"/>
  <c r="AL342"/>
  <c r="AL341"/>
  <c r="AL340"/>
  <c r="AL339"/>
  <c r="AJ342"/>
  <c r="AJ341"/>
  <c r="AJ340"/>
  <c r="AJ339"/>
  <c r="AL337" i="1"/>
  <c r="AJ337"/>
  <c r="AL336"/>
  <c r="AJ336"/>
  <c r="AJ335"/>
  <c r="AL334"/>
  <c r="AJ334"/>
  <c r="AL338" i="59"/>
  <c r="AL337"/>
  <c r="AL335"/>
  <c r="AJ338"/>
  <c r="AJ337"/>
  <c r="AJ336"/>
  <c r="AJ335"/>
  <c r="AL334"/>
  <c r="AL333" i="1"/>
  <c r="I130" i="58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31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I149"/>
  <c r="J149"/>
  <c r="K149"/>
  <c r="I148"/>
  <c r="J148"/>
  <c r="K148"/>
  <c r="L148"/>
  <c r="I139"/>
  <c r="J139"/>
  <c r="K139"/>
  <c r="L139"/>
  <c r="I140"/>
  <c r="J140"/>
  <c r="K140"/>
  <c r="L140"/>
  <c r="I141"/>
  <c r="J141"/>
  <c r="K141"/>
  <c r="L141"/>
  <c r="I142"/>
  <c r="J142"/>
  <c r="K142"/>
  <c r="L142"/>
  <c r="I143"/>
  <c r="J143"/>
  <c r="K143"/>
  <c r="L143"/>
  <c r="I144"/>
  <c r="J144"/>
  <c r="K144"/>
  <c r="L144"/>
  <c r="AJ330" i="1"/>
  <c r="AL329"/>
  <c r="AJ329"/>
  <c r="AJ328"/>
  <c r="AL327"/>
  <c r="AJ327"/>
  <c r="AJ326"/>
  <c r="AL325"/>
  <c r="AJ325"/>
  <c r="AJ324"/>
  <c r="AJ323"/>
  <c r="AL322"/>
  <c r="AJ322"/>
  <c r="AL321"/>
  <c r="AJ321"/>
  <c r="AJ320"/>
  <c r="AJ319"/>
  <c r="AL318"/>
  <c r="AJ318"/>
  <c r="AL317"/>
  <c r="AJ317"/>
  <c r="AJ316"/>
  <c r="AJ315"/>
  <c r="AL314"/>
  <c r="AJ314"/>
  <c r="AL330" i="59"/>
  <c r="AL328"/>
  <c r="AL326"/>
  <c r="AL323"/>
  <c r="AL322"/>
  <c r="AL319"/>
  <c r="AL318"/>
  <c r="AL315"/>
  <c r="AJ315"/>
  <c r="AJ316"/>
  <c r="AJ317"/>
  <c r="AJ318"/>
  <c r="AJ319"/>
  <c r="AJ320"/>
  <c r="AJ321"/>
  <c r="AJ322"/>
  <c r="AJ323"/>
  <c r="AJ324"/>
  <c r="AJ325"/>
  <c r="AJ326"/>
  <c r="AJ327"/>
  <c r="AJ328"/>
  <c r="AJ329"/>
  <c r="AJ330"/>
  <c r="AJ331"/>
  <c r="AJ8" i="1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J66"/>
  <c r="AJ67"/>
  <c r="AJ68"/>
  <c r="AJ69"/>
  <c r="AJ70"/>
  <c r="AJ71"/>
  <c r="AJ72"/>
  <c r="AJ73"/>
  <c r="AJ74"/>
  <c r="AJ75"/>
  <c r="AJ76"/>
  <c r="AJ77"/>
  <c r="AJ78"/>
  <c r="AJ79"/>
  <c r="AJ80"/>
  <c r="AJ81"/>
  <c r="AJ82"/>
  <c r="AJ83"/>
  <c r="AJ84"/>
  <c r="AJ85"/>
  <c r="AJ86"/>
  <c r="AJ87"/>
  <c r="AJ88"/>
  <c r="AJ89"/>
  <c r="AJ90"/>
  <c r="AJ91"/>
  <c r="AJ92"/>
  <c r="AJ93"/>
  <c r="AJ94"/>
  <c r="AJ95"/>
  <c r="AJ96"/>
  <c r="AJ97"/>
  <c r="AJ98"/>
  <c r="AJ99"/>
  <c r="AJ100"/>
  <c r="AJ101"/>
  <c r="AJ102"/>
  <c r="AJ103"/>
  <c r="AJ104"/>
  <c r="AL104"/>
  <c r="AJ105"/>
  <c r="AL105"/>
  <c r="AJ106"/>
  <c r="AL106"/>
  <c r="AJ107"/>
  <c r="AJ108"/>
  <c r="AJ109"/>
  <c r="AL109"/>
  <c r="AJ111"/>
  <c r="AL111"/>
  <c r="AJ112"/>
  <c r="AL112"/>
  <c r="AJ113"/>
  <c r="AJ114"/>
  <c r="AJ115"/>
  <c r="AL115"/>
  <c r="AJ116"/>
  <c r="AL116"/>
  <c r="AJ117"/>
  <c r="AL117"/>
  <c r="AJ118"/>
  <c r="AL118"/>
  <c r="AJ119"/>
  <c r="AJ120"/>
  <c r="AJ121"/>
  <c r="AL121"/>
  <c r="AJ122"/>
  <c r="AL122"/>
  <c r="AJ123"/>
  <c r="AL123"/>
  <c r="AJ124"/>
  <c r="AL124"/>
  <c r="AJ125"/>
  <c r="AJ126"/>
  <c r="AJ127"/>
  <c r="AL127"/>
  <c r="AJ128"/>
  <c r="AL128"/>
  <c r="AJ129"/>
  <c r="AJ130"/>
  <c r="AL130"/>
  <c r="AN130"/>
  <c r="AJ131"/>
  <c r="AL131"/>
  <c r="AJ132"/>
  <c r="AN132"/>
  <c r="AJ133"/>
  <c r="AL133"/>
  <c r="AJ134"/>
  <c r="AJ135"/>
  <c r="AL135"/>
  <c r="AJ136"/>
  <c r="AN136"/>
  <c r="AJ137"/>
  <c r="AL137"/>
  <c r="AJ138"/>
  <c r="AL138"/>
  <c r="AJ139"/>
  <c r="AL139"/>
  <c r="AJ140"/>
  <c r="AJ141"/>
  <c r="AL141"/>
  <c r="AJ142"/>
  <c r="AL142"/>
  <c r="AJ143"/>
  <c r="AL143"/>
  <c r="AJ144"/>
  <c r="AL144"/>
  <c r="AJ145"/>
  <c r="AL145"/>
  <c r="AJ146"/>
  <c r="AN146"/>
  <c r="AJ147"/>
  <c r="AL147"/>
  <c r="AJ148"/>
  <c r="AL148"/>
  <c r="AJ149"/>
  <c r="AL149"/>
  <c r="AJ150"/>
  <c r="AJ151"/>
  <c r="AL151"/>
  <c r="AJ152"/>
  <c r="AL152"/>
  <c r="AJ153"/>
  <c r="AL153"/>
  <c r="AJ154"/>
  <c r="AJ155"/>
  <c r="AJ156"/>
  <c r="AJ157"/>
  <c r="AJ158"/>
  <c r="AJ159"/>
  <c r="AJ160"/>
  <c r="AJ161"/>
  <c r="AJ162"/>
  <c r="AJ163"/>
  <c r="AJ164"/>
  <c r="AJ165"/>
  <c r="AJ166"/>
  <c r="AJ167"/>
  <c r="AJ168"/>
  <c r="AJ169"/>
  <c r="AJ170"/>
  <c r="AJ171"/>
  <c r="AJ172"/>
  <c r="AJ173"/>
  <c r="AJ174"/>
  <c r="AJ175"/>
  <c r="AJ190"/>
  <c r="AJ191"/>
  <c r="AJ192"/>
  <c r="AJ193"/>
  <c r="AJ194"/>
  <c r="AJ195"/>
  <c r="AJ196"/>
  <c r="AJ197"/>
  <c r="AJ198"/>
  <c r="AJ199"/>
  <c r="AJ200"/>
  <c r="AJ201"/>
  <c r="AJ202"/>
  <c r="AJ203"/>
  <c r="AJ204"/>
  <c r="AJ205"/>
  <c r="AJ206"/>
  <c r="AJ207"/>
  <c r="AJ208"/>
  <c r="AJ209"/>
  <c r="AJ210"/>
  <c r="AJ211"/>
  <c r="AJ212"/>
  <c r="AJ213"/>
  <c r="AJ214"/>
  <c r="AJ215"/>
  <c r="AJ216"/>
  <c r="L217"/>
  <c r="M217"/>
  <c r="AJ217"/>
  <c r="N217"/>
  <c r="O217"/>
  <c r="P217"/>
  <c r="AL217"/>
  <c r="AJ218"/>
  <c r="AL218"/>
  <c r="AJ219"/>
  <c r="AL219"/>
  <c r="AJ220"/>
  <c r="AL220"/>
  <c r="AJ221"/>
  <c r="AL221"/>
  <c r="AJ222"/>
  <c r="AL222"/>
  <c r="AJ223"/>
  <c r="AL223"/>
  <c r="AJ224"/>
  <c r="AL224"/>
  <c r="AJ225"/>
  <c r="AL225"/>
  <c r="AJ226"/>
  <c r="AL226"/>
  <c r="AJ227"/>
  <c r="AL227"/>
  <c r="AJ228"/>
  <c r="AL228"/>
  <c r="AJ229"/>
  <c r="AJ230"/>
  <c r="AL230"/>
  <c r="AJ231"/>
  <c r="AL231"/>
  <c r="AJ232"/>
  <c r="AJ233"/>
  <c r="AJ234"/>
  <c r="AJ235"/>
  <c r="AJ236"/>
  <c r="AJ237"/>
  <c r="AJ238"/>
  <c r="AJ239"/>
  <c r="AJ240"/>
  <c r="AJ241"/>
  <c r="AJ242"/>
  <c r="AJ243"/>
  <c r="AJ244"/>
  <c r="AJ245"/>
  <c r="AJ246"/>
  <c r="AJ247"/>
  <c r="AJ248"/>
  <c r="AJ249"/>
  <c r="AJ250"/>
  <c r="AJ251"/>
  <c r="AJ252"/>
  <c r="AJ253"/>
  <c r="AJ254"/>
  <c r="AL254"/>
  <c r="AJ255"/>
  <c r="AJ256"/>
  <c r="AL256"/>
  <c r="AJ257"/>
  <c r="AL257"/>
  <c r="AJ258"/>
  <c r="AL258"/>
  <c r="AJ259"/>
  <c r="AJ260"/>
  <c r="AL260"/>
  <c r="AJ261"/>
  <c r="AL261"/>
  <c r="AJ265"/>
  <c r="AJ267"/>
  <c r="AJ268"/>
  <c r="AJ286"/>
  <c r="AL286"/>
  <c r="AJ287"/>
  <c r="AL287"/>
  <c r="AJ288"/>
  <c r="AJ289"/>
  <c r="AL289"/>
  <c r="AJ290"/>
  <c r="AL290"/>
  <c r="AJ291"/>
  <c r="AL291"/>
  <c r="AJ292"/>
  <c r="AL292"/>
  <c r="AJ293"/>
  <c r="AL293"/>
  <c r="AJ294"/>
  <c r="AL294"/>
  <c r="AJ295"/>
  <c r="AL295"/>
  <c r="AJ296"/>
  <c r="AL296"/>
  <c r="AJ297"/>
  <c r="AL297"/>
  <c r="AJ298"/>
  <c r="AL298"/>
  <c r="AJ299"/>
  <c r="AL299"/>
  <c r="AJ300"/>
  <c r="AJ301"/>
  <c r="AL301"/>
  <c r="AJ302"/>
  <c r="AL302"/>
  <c r="AJ303"/>
  <c r="AJ304"/>
  <c r="AL304"/>
  <c r="AJ305"/>
  <c r="AL305"/>
  <c r="AJ306"/>
  <c r="AL306"/>
  <c r="AJ307"/>
  <c r="AJ308"/>
  <c r="AL308"/>
  <c r="AJ309"/>
  <c r="AL309"/>
  <c r="AJ310"/>
  <c r="AL310"/>
  <c r="AJ311"/>
  <c r="AJ312"/>
  <c r="AJ313"/>
  <c r="AL313"/>
  <c r="AJ8" i="59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J66"/>
  <c r="AJ67"/>
  <c r="AJ68"/>
  <c r="AJ69"/>
  <c r="AJ70"/>
  <c r="AJ71"/>
  <c r="AJ72"/>
  <c r="AJ73"/>
  <c r="AJ74"/>
  <c r="AJ75"/>
  <c r="AJ76"/>
  <c r="AJ77"/>
  <c r="AJ78"/>
  <c r="AJ79"/>
  <c r="AJ80"/>
  <c r="AJ81"/>
  <c r="AJ82"/>
  <c r="AJ83"/>
  <c r="AJ84"/>
  <c r="AJ85"/>
  <c r="AJ86"/>
  <c r="AJ87"/>
  <c r="AJ88"/>
  <c r="AJ89"/>
  <c r="AJ90"/>
  <c r="AJ91"/>
  <c r="AJ92"/>
  <c r="AJ93"/>
  <c r="AJ94"/>
  <c r="AJ95"/>
  <c r="AJ96"/>
  <c r="AJ97"/>
  <c r="AJ98"/>
  <c r="AJ99"/>
  <c r="AJ100"/>
  <c r="AJ101"/>
  <c r="AJ102"/>
  <c r="AJ103"/>
  <c r="AJ104"/>
  <c r="AL104"/>
  <c r="AJ105"/>
  <c r="AL105"/>
  <c r="AJ106"/>
  <c r="AL106"/>
  <c r="AJ107"/>
  <c r="AJ108"/>
  <c r="AJ109"/>
  <c r="AL109"/>
  <c r="AJ111"/>
  <c r="AL111"/>
  <c r="AJ112"/>
  <c r="AL112"/>
  <c r="AJ113"/>
  <c r="AJ114"/>
  <c r="AJ115"/>
  <c r="AL115"/>
  <c r="AJ116"/>
  <c r="AL116"/>
  <c r="AJ117"/>
  <c r="AL117"/>
  <c r="AJ118"/>
  <c r="AL118"/>
  <c r="AJ119"/>
  <c r="AJ120"/>
  <c r="AJ121"/>
  <c r="AL121"/>
  <c r="AJ122"/>
  <c r="AL122"/>
  <c r="AJ123"/>
  <c r="AL123"/>
  <c r="AJ124"/>
  <c r="AL124"/>
  <c r="AJ125"/>
  <c r="AJ126"/>
  <c r="AJ127"/>
  <c r="AL127"/>
  <c r="AJ128"/>
  <c r="AL128"/>
  <c r="AJ129"/>
  <c r="AJ130"/>
  <c r="AL130"/>
  <c r="AN130"/>
  <c r="AJ131"/>
  <c r="AL131"/>
  <c r="AJ132"/>
  <c r="AN132"/>
  <c r="AJ133"/>
  <c r="AL133"/>
  <c r="AJ134"/>
  <c r="AL134"/>
  <c r="AJ135"/>
  <c r="AJ136"/>
  <c r="AL136"/>
  <c r="AJ137"/>
  <c r="AN137"/>
  <c r="AJ138"/>
  <c r="AL138"/>
  <c r="AJ139"/>
  <c r="AL139"/>
  <c r="AJ140"/>
  <c r="AL140"/>
  <c r="AJ141"/>
  <c r="AJ142"/>
  <c r="AL142"/>
  <c r="AJ143"/>
  <c r="AL143"/>
  <c r="AJ144"/>
  <c r="AL144"/>
  <c r="AJ145"/>
  <c r="AL145"/>
  <c r="AJ146"/>
  <c r="AL146"/>
  <c r="AJ147"/>
  <c r="AN147"/>
  <c r="AJ148"/>
  <c r="AL148"/>
  <c r="AJ149"/>
  <c r="AL149"/>
  <c r="AJ150"/>
  <c r="AL150"/>
  <c r="AJ151"/>
  <c r="AJ152"/>
  <c r="AL152"/>
  <c r="AJ153"/>
  <c r="AL153"/>
  <c r="AJ154"/>
  <c r="AL154"/>
  <c r="AJ155"/>
  <c r="AJ156"/>
  <c r="AJ157"/>
  <c r="AJ158"/>
  <c r="AJ159"/>
  <c r="AJ160"/>
  <c r="AJ161"/>
  <c r="AJ162"/>
  <c r="AJ163"/>
  <c r="AJ164"/>
  <c r="AJ165"/>
  <c r="AJ166"/>
  <c r="AJ167"/>
  <c r="AJ168"/>
  <c r="AJ169"/>
  <c r="AJ170"/>
  <c r="AJ171"/>
  <c r="AJ172"/>
  <c r="AJ173"/>
  <c r="AJ174"/>
  <c r="AJ175"/>
  <c r="AJ176"/>
  <c r="AJ191"/>
  <c r="AJ192"/>
  <c r="AJ193"/>
  <c r="AJ194"/>
  <c r="AJ195"/>
  <c r="AJ196"/>
  <c r="AJ197"/>
  <c r="AJ198"/>
  <c r="AJ199"/>
  <c r="AJ200"/>
  <c r="AJ201"/>
  <c r="AJ202"/>
  <c r="AJ203"/>
  <c r="AJ204"/>
  <c r="AJ205"/>
  <c r="AJ206"/>
  <c r="AJ207"/>
  <c r="AJ208"/>
  <c r="AJ209"/>
  <c r="AJ210"/>
  <c r="AJ211"/>
  <c r="AJ212"/>
  <c r="AJ213"/>
  <c r="AJ214"/>
  <c r="AJ215"/>
  <c r="AJ216"/>
  <c r="AJ217"/>
  <c r="L218"/>
  <c r="M218"/>
  <c r="N218"/>
  <c r="O218"/>
  <c r="AJ218"/>
  <c r="P218"/>
  <c r="AL218"/>
  <c r="AJ219"/>
  <c r="AL219"/>
  <c r="AJ220"/>
  <c r="AL220"/>
  <c r="AJ221"/>
  <c r="AL221"/>
  <c r="AJ222"/>
  <c r="AL222"/>
  <c r="AJ223"/>
  <c r="AL223"/>
  <c r="AJ224"/>
  <c r="AL224"/>
  <c r="AJ225"/>
  <c r="AL225"/>
  <c r="AJ226"/>
  <c r="AL226"/>
  <c r="AJ227"/>
  <c r="AL227"/>
  <c r="AJ228"/>
  <c r="AL228"/>
  <c r="AJ229"/>
  <c r="AL229"/>
  <c r="AJ230"/>
  <c r="AJ231"/>
  <c r="AL231"/>
  <c r="AJ232"/>
  <c r="AL232"/>
  <c r="AJ233"/>
  <c r="AJ234"/>
  <c r="AJ235"/>
  <c r="AJ236"/>
  <c r="AJ237"/>
  <c r="AJ238"/>
  <c r="AJ239"/>
  <c r="AJ240"/>
  <c r="AJ241"/>
  <c r="AJ242"/>
  <c r="AJ243"/>
  <c r="AJ244"/>
  <c r="AJ245"/>
  <c r="AJ246"/>
  <c r="AJ247"/>
  <c r="AJ248"/>
  <c r="AJ249"/>
  <c r="AJ250"/>
  <c r="AJ251"/>
  <c r="AJ252"/>
  <c r="AJ253"/>
  <c r="AJ254"/>
  <c r="AJ255"/>
  <c r="AL255"/>
  <c r="AJ256"/>
  <c r="AJ257"/>
  <c r="AL257"/>
  <c r="AJ258"/>
  <c r="AL258"/>
  <c r="AJ259"/>
  <c r="AL259"/>
  <c r="AJ260"/>
  <c r="AJ261"/>
  <c r="AL261"/>
  <c r="AJ262"/>
  <c r="AL262"/>
  <c r="AJ266"/>
  <c r="AJ268"/>
  <c r="AJ269"/>
  <c r="AJ287"/>
  <c r="AL287"/>
  <c r="AJ288"/>
  <c r="AL288"/>
  <c r="AJ289"/>
  <c r="AJ290"/>
  <c r="AL290"/>
  <c r="AJ291"/>
  <c r="AL291"/>
  <c r="AJ292"/>
  <c r="AL292"/>
  <c r="AJ293"/>
  <c r="AL293"/>
  <c r="AJ294"/>
  <c r="AL294"/>
  <c r="AJ295"/>
  <c r="AL295"/>
  <c r="AJ296"/>
  <c r="AL296"/>
  <c r="AJ297"/>
  <c r="AL297"/>
  <c r="AJ298"/>
  <c r="AL298"/>
  <c r="AJ299"/>
  <c r="AL299"/>
  <c r="AJ300"/>
  <c r="AL300"/>
  <c r="AJ301"/>
  <c r="AJ302"/>
  <c r="AL302"/>
  <c r="AJ303"/>
  <c r="AL303"/>
  <c r="AJ304"/>
  <c r="AJ305"/>
  <c r="AL305"/>
  <c r="AJ306"/>
  <c r="AL306"/>
  <c r="AJ307"/>
  <c r="AL307"/>
  <c r="AJ308"/>
  <c r="AJ309"/>
  <c r="AL309"/>
  <c r="AJ310"/>
  <c r="AL310"/>
  <c r="AJ311"/>
  <c r="AL311"/>
  <c r="AJ312"/>
  <c r="AJ313"/>
  <c r="AJ314"/>
  <c r="AL314"/>
  <c r="G4" i="58"/>
  <c r="H4"/>
  <c r="I4"/>
  <c r="J4"/>
  <c r="K4"/>
  <c r="G5"/>
  <c r="H5"/>
  <c r="I5"/>
  <c r="J5"/>
  <c r="K5"/>
  <c r="G6"/>
  <c r="H6"/>
  <c r="I6"/>
  <c r="J6"/>
  <c r="K6"/>
  <c r="G7"/>
  <c r="H7"/>
  <c r="I7"/>
  <c r="J7"/>
  <c r="K7"/>
  <c r="G8"/>
  <c r="H8"/>
  <c r="I8"/>
  <c r="J8"/>
  <c r="K8"/>
  <c r="G14"/>
  <c r="H14"/>
  <c r="I14"/>
  <c r="J14"/>
  <c r="K14"/>
  <c r="G15"/>
  <c r="H15"/>
  <c r="I15"/>
  <c r="J15"/>
  <c r="K15"/>
  <c r="G16"/>
  <c r="H16"/>
  <c r="I16"/>
  <c r="J16"/>
  <c r="K16"/>
  <c r="G17"/>
  <c r="H17"/>
  <c r="I17"/>
  <c r="J17"/>
  <c r="K17"/>
  <c r="G18"/>
  <c r="H18"/>
  <c r="I18"/>
  <c r="J18"/>
  <c r="K18"/>
  <c r="K27"/>
  <c r="M28"/>
  <c r="K28"/>
  <c r="L28"/>
  <c r="N30"/>
  <c r="N29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H110" authorId="0">
      <text>
        <r>
          <rPr>
            <sz val="8"/>
            <color indexed="81"/>
            <rFont val="Tahoma"/>
            <family val="2"/>
          </rPr>
          <t>approx. 100 dead in trap- did not trap in the doughnut hole for the rest of the week</t>
        </r>
      </text>
    </comment>
    <comment ref="AL119" authorId="0">
      <text>
        <r>
          <rPr>
            <sz val="8"/>
            <color indexed="81"/>
            <rFont val="Tahoma"/>
            <family val="2"/>
          </rPr>
          <t>estimated</t>
        </r>
      </text>
    </comment>
    <comment ref="AL125" authorId="0">
      <text>
        <r>
          <rPr>
            <sz val="8"/>
            <color indexed="81"/>
            <rFont val="Tahoma"/>
            <family val="2"/>
          </rPr>
          <t>estimated</t>
        </r>
      </text>
    </comment>
    <comment ref="H127" authorId="0">
      <text>
        <r>
          <rPr>
            <sz val="8"/>
            <color indexed="81"/>
            <rFont val="Tahoma"/>
            <family val="2"/>
          </rPr>
          <t>1 dead</t>
        </r>
      </text>
    </comment>
    <comment ref="H128" authorId="0">
      <text>
        <r>
          <rPr>
            <sz val="8"/>
            <color indexed="81"/>
            <rFont val="Tahoma"/>
            <family val="2"/>
          </rPr>
          <t>2 dead</t>
        </r>
      </text>
    </comment>
    <comment ref="AI162" authorId="0">
      <text>
        <r>
          <rPr>
            <sz val="8"/>
            <color indexed="81"/>
            <rFont val="Tahoma"/>
            <family val="2"/>
          </rPr>
          <t>jkagle:
dead mouse
also, dead frog near, but not in trap</t>
        </r>
      </text>
    </comment>
    <comment ref="AN164" authorId="0">
      <text>
        <r>
          <rPr>
            <sz val="8"/>
            <color indexed="81"/>
            <rFont val="Tahoma"/>
            <family val="2"/>
          </rPr>
          <t>jkagle:
Didn't measure green crabs</t>
        </r>
      </text>
    </comment>
    <comment ref="C172" authorId="0">
      <text>
        <r>
          <rPr>
            <sz val="8"/>
            <color indexed="81"/>
            <rFont val="Tahoma"/>
            <family val="2"/>
          </rPr>
          <t>jkagle:
Need to find trap set time</t>
        </r>
      </text>
    </comment>
    <comment ref="C173" authorId="0">
      <text>
        <r>
          <rPr>
            <sz val="8"/>
            <color indexed="81"/>
            <rFont val="Tahoma"/>
            <family val="2"/>
          </rPr>
          <t>jkagle:
Need to find trap set time</t>
        </r>
      </text>
    </comment>
  </commentList>
</comments>
</file>

<file path=xl/comments2.xml><?xml version="1.0" encoding="utf-8"?>
<comments xmlns="http://schemas.openxmlformats.org/spreadsheetml/2006/main">
  <authors>
    <author>A satisfied Microsoft Office user</author>
  </authors>
  <commentList>
    <comment ref="H110" authorId="0">
      <text>
        <r>
          <rPr>
            <sz val="8"/>
            <color indexed="81"/>
            <rFont val="Tahoma"/>
            <family val="2"/>
          </rPr>
          <t>approx. 100 dead in trap- did not trap in the doughnut hole for the rest of the week</t>
        </r>
      </text>
    </comment>
    <comment ref="AL119" authorId="0">
      <text>
        <r>
          <rPr>
            <sz val="8"/>
            <color indexed="81"/>
            <rFont val="Tahoma"/>
            <family val="2"/>
          </rPr>
          <t>estimated</t>
        </r>
      </text>
    </comment>
    <comment ref="AL125" authorId="0">
      <text>
        <r>
          <rPr>
            <sz val="8"/>
            <color indexed="81"/>
            <rFont val="Tahoma"/>
            <family val="2"/>
          </rPr>
          <t>estimated</t>
        </r>
      </text>
    </comment>
    <comment ref="H127" authorId="0">
      <text>
        <r>
          <rPr>
            <sz val="8"/>
            <color indexed="81"/>
            <rFont val="Tahoma"/>
            <family val="2"/>
          </rPr>
          <t>1 dead</t>
        </r>
      </text>
    </comment>
    <comment ref="H128" authorId="0">
      <text>
        <r>
          <rPr>
            <sz val="8"/>
            <color indexed="81"/>
            <rFont val="Tahoma"/>
            <family val="2"/>
          </rPr>
          <t>2 dead</t>
        </r>
      </text>
    </comment>
    <comment ref="AI163" authorId="0">
      <text>
        <r>
          <rPr>
            <sz val="8"/>
            <color indexed="81"/>
            <rFont val="Tahoma"/>
            <family val="2"/>
          </rPr>
          <t>jkagle:
dead mouse
also, dead frog near, but not in trap</t>
        </r>
      </text>
    </comment>
    <comment ref="AN165" authorId="0">
      <text>
        <r>
          <rPr>
            <sz val="8"/>
            <color indexed="81"/>
            <rFont val="Tahoma"/>
            <family val="2"/>
          </rPr>
          <t>jkagle:
Didn't measure green crabs</t>
        </r>
      </text>
    </comment>
    <comment ref="C173" authorId="0">
      <text>
        <r>
          <rPr>
            <sz val="8"/>
            <color indexed="81"/>
            <rFont val="Tahoma"/>
            <family val="2"/>
          </rPr>
          <t>jkagle:
Need to find trap set time</t>
        </r>
      </text>
    </comment>
    <comment ref="C174" authorId="0">
      <text>
        <r>
          <rPr>
            <sz val="8"/>
            <color indexed="81"/>
            <rFont val="Tahoma"/>
            <family val="2"/>
          </rPr>
          <t>jkagle:
Need to find trap set time</t>
        </r>
      </text>
    </comment>
  </commentList>
</comments>
</file>

<file path=xl/sharedStrings.xml><?xml version="1.0" encoding="utf-8"?>
<sst xmlns="http://schemas.openxmlformats.org/spreadsheetml/2006/main" count="3794" uniqueCount="155">
  <si>
    <t>"mosquito cases"</t>
  </si>
  <si>
    <t>2.5 AM</t>
  </si>
  <si>
    <t>2.5 PM</t>
  </si>
  <si>
    <t>Jelly Bean</t>
  </si>
  <si>
    <t>was not submerged</t>
  </si>
  <si>
    <t xml:space="preserve">Trap 3 </t>
  </si>
  <si>
    <t>Need trap set times</t>
  </si>
  <si>
    <t>No fish in traps today</t>
  </si>
  <si>
    <t>Data</t>
  </si>
  <si>
    <t>Average of Mummichog</t>
  </si>
  <si>
    <t>Count of mud snail</t>
  </si>
  <si>
    <t>Count of Green Crab</t>
  </si>
  <si>
    <t>Count of smelt</t>
  </si>
  <si>
    <t>green frog</t>
  </si>
  <si>
    <t>Season</t>
  </si>
  <si>
    <t>Spring</t>
  </si>
  <si>
    <t>Fall</t>
  </si>
  <si>
    <t>? Shrimp</t>
  </si>
  <si>
    <t>Location</t>
  </si>
  <si>
    <t xml:space="preserve">Data Collected By: </t>
  </si>
  <si>
    <t>Traps 1 and 2 and 2.5  are downstream of the culvert</t>
  </si>
  <si>
    <t>Traps 3 and 4 are upstream of a culvert.</t>
  </si>
  <si>
    <t xml:space="preserve">Are there  more fish upstream or downstream of a tidal restriction?  More species upstream or down?  Bigger fish upstream or down? </t>
  </si>
  <si>
    <t>Total of each species:</t>
  </si>
  <si>
    <t>Average volume in ml</t>
  </si>
  <si>
    <t>Stickleback</t>
  </si>
  <si>
    <t>Date</t>
  </si>
  <si>
    <t>Station</t>
  </si>
  <si>
    <t>Amnt Time</t>
  </si>
  <si>
    <t>Area</t>
  </si>
  <si>
    <t>Mummichog</t>
  </si>
  <si>
    <t xml:space="preserve"> 4spined stickleback</t>
  </si>
  <si>
    <t>3 spined stickleback</t>
  </si>
  <si>
    <t>9 spined stickleback</t>
  </si>
  <si>
    <t>Fish
 Code</t>
  </si>
  <si>
    <t>Lengths
(mm)</t>
  </si>
  <si>
    <t>Sample
Number</t>
  </si>
  <si>
    <t>Sample
 Vol. (ml)</t>
  </si>
  <si>
    <t>Sample
Vol/fish</t>
  </si>
  <si>
    <t>? Stickleback</t>
  </si>
  <si>
    <t>Silverside</t>
  </si>
  <si>
    <t>Eel</t>
  </si>
  <si>
    <t>grass shrimp</t>
  </si>
  <si>
    <t>sand shrimp</t>
  </si>
  <si>
    <t>mud snail</t>
  </si>
  <si>
    <t>Green Crab</t>
  </si>
  <si>
    <t>smelt</t>
  </si>
  <si>
    <t>red worm</t>
  </si>
  <si>
    <t>amphipod</t>
  </si>
  <si>
    <t>water skimmer</t>
  </si>
  <si>
    <t>water beetle</t>
  </si>
  <si>
    <t>rodent</t>
  </si>
  <si>
    <t xml:space="preserve">Total
Number of  org.  </t>
  </si>
  <si>
    <t>Total number of species</t>
  </si>
  <si>
    <t>Comments</t>
  </si>
  <si>
    <t>River downstream</t>
  </si>
  <si>
    <t>River upstream</t>
  </si>
  <si>
    <t>Panne</t>
  </si>
  <si>
    <t>Doughnut Hole</t>
  </si>
  <si>
    <t>Boomerang</t>
  </si>
  <si>
    <t>Trap 1</t>
  </si>
  <si>
    <t>Trap 2</t>
  </si>
  <si>
    <t>Trap 3</t>
  </si>
  <si>
    <t>Trap 2.5</t>
  </si>
  <si>
    <t>~100</t>
  </si>
  <si>
    <t>"aquatic walking stick"</t>
  </si>
  <si>
    <t xml:space="preserve">Doughnut Hole much more shallow this year </t>
  </si>
  <si>
    <t>( sedimentation?) and more elongated in shape</t>
  </si>
  <si>
    <t xml:space="preserve">We didn't put traps 1 and 2 because wrack </t>
  </si>
  <si>
    <t>filled the river channel</t>
  </si>
  <si>
    <t>Year</t>
  </si>
  <si>
    <t>isopod</t>
  </si>
  <si>
    <t>brown shrimp leech</t>
  </si>
  <si>
    <t>green shrimp leech</t>
  </si>
  <si>
    <t>Count of Mummichog</t>
  </si>
  <si>
    <t>Count of  4spined stickleback</t>
  </si>
  <si>
    <t>Count of 3 spined stickleback</t>
  </si>
  <si>
    <t>Count of 9 spined stickleback</t>
  </si>
  <si>
    <t>Count of Silverside</t>
  </si>
  <si>
    <t>Count of Eel</t>
  </si>
  <si>
    <t>Count of grass shrimp</t>
  </si>
  <si>
    <t>Count of sand shrimp</t>
  </si>
  <si>
    <t>3 spined a pregnant female</t>
  </si>
  <si>
    <t>eel: juvenile, clear</t>
  </si>
  <si>
    <t>eels: juvenile, dark</t>
  </si>
  <si>
    <t>Vol. Mummichog</t>
  </si>
  <si>
    <t>Vol. Eel</t>
  </si>
  <si>
    <t>Vol. Crab (Green)</t>
  </si>
  <si>
    <t>Grand Total</t>
  </si>
  <si>
    <t>Average of Vol. Mummichog</t>
  </si>
  <si>
    <t>~1</t>
  </si>
  <si>
    <t>Count of ? Shrimp</t>
  </si>
  <si>
    <t>Count of brown shrimp leech</t>
  </si>
  <si>
    <t>Count of green shrimp leech</t>
  </si>
  <si>
    <t>Count of red worm</t>
  </si>
  <si>
    <t>Count of amphipod</t>
  </si>
  <si>
    <t>Count of water skimmer</t>
  </si>
  <si>
    <t>Count of water beetle</t>
  </si>
  <si>
    <t>Count of green frog</t>
  </si>
  <si>
    <t>Count of isopod</t>
  </si>
  <si>
    <t>Count of Area</t>
  </si>
  <si>
    <t xml:space="preserve"> Mummichog</t>
  </si>
  <si>
    <t>4spined stickleback</t>
  </si>
  <si>
    <t xml:space="preserve"> 3 spined stickleback</t>
  </si>
  <si>
    <t xml:space="preserve"> brown shrimp leech</t>
  </si>
  <si>
    <t xml:space="preserve"> amphipod</t>
  </si>
  <si>
    <t xml:space="preserve"> green frog</t>
  </si>
  <si>
    <t>Pannes were added in 1999</t>
  </si>
  <si>
    <t>Summer</t>
  </si>
  <si>
    <t>Divergent</t>
  </si>
  <si>
    <t xml:space="preserve"> </t>
  </si>
  <si>
    <t>1999-2006 Pannes were cleared of wrack in the spring.</t>
  </si>
  <si>
    <t>mouse/rodent</t>
  </si>
  <si>
    <t>Treatment</t>
  </si>
  <si>
    <t>Treatment: Pannes Cleared</t>
  </si>
  <si>
    <t>Pannes Cleared</t>
  </si>
  <si>
    <t>Wrack left in pannes</t>
  </si>
  <si>
    <t>Total Average of Mummichog</t>
  </si>
  <si>
    <t>Average of 9 spined stickleback</t>
  </si>
  <si>
    <t>Total Average of 9 spined stickleback</t>
  </si>
  <si>
    <t>Average of Green Crab</t>
  </si>
  <si>
    <t>Total Average of Green Crab</t>
  </si>
  <si>
    <t>Wrack Left Year 1</t>
  </si>
  <si>
    <t>Wrack Left Year 2</t>
  </si>
  <si>
    <t>Wrack Left Year 3</t>
  </si>
  <si>
    <t>Snail (sp)</t>
  </si>
  <si>
    <t>boomerang</t>
  </si>
  <si>
    <t>Trap3</t>
  </si>
  <si>
    <t xml:space="preserve">missing mummichog volume </t>
  </si>
  <si>
    <t>Restored 1</t>
  </si>
  <si>
    <t>Restricted</t>
  </si>
  <si>
    <t>Reference</t>
  </si>
  <si>
    <t>2010 culvert replaced!</t>
  </si>
  <si>
    <t xml:space="preserve"> Shrimp spp.</t>
  </si>
  <si>
    <t>Shrimp data combined</t>
  </si>
  <si>
    <t xml:space="preserve">Wrack Left </t>
  </si>
  <si>
    <t>Pre restoration</t>
  </si>
  <si>
    <t>Post restoration</t>
  </si>
  <si>
    <t>Constructed Panne</t>
  </si>
  <si>
    <t>combine shrimp data, then copy values of other data.</t>
  </si>
  <si>
    <t>total mumm</t>
  </si>
  <si>
    <t>1012/2012</t>
  </si>
  <si>
    <t>2007-2012 Pannes were no longer cleared of wrack.</t>
  </si>
  <si>
    <t xml:space="preserve">Divergent </t>
  </si>
  <si>
    <t xml:space="preserve">missing green crab volume </t>
  </si>
  <si>
    <t>Wrack Left Year 4</t>
  </si>
  <si>
    <t>Wrack Left Year 5</t>
  </si>
  <si>
    <t>Wrack Left Year 6</t>
  </si>
  <si>
    <t>Boomerang Total</t>
  </si>
  <si>
    <t>Doughnut Hole Total</t>
  </si>
  <si>
    <t>Wrack Left Year 7</t>
  </si>
  <si>
    <t>Wrack Left Year 8</t>
  </si>
  <si>
    <t>Jelly Bean Total</t>
  </si>
  <si>
    <t>Wrack Left Year 9</t>
  </si>
  <si>
    <t>Count of mouse/rodent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</si>
</sst>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0"/>
      <color indexed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2" fontId="0" fillId="0" borderId="0" xfId="0" applyNumberForma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2" fontId="0" fillId="0" borderId="0" xfId="0" applyNumberFormat="1"/>
    <xf numFmtId="2" fontId="2" fillId="0" borderId="0" xfId="0" applyNumberFormat="1" applyFont="1" applyAlignment="1">
      <alignment horizontal="center" wrapText="1"/>
    </xf>
    <xf numFmtId="1" fontId="2" fillId="0" borderId="0" xfId="0" applyNumberFormat="1" applyFont="1" applyAlignment="1">
      <alignment horizontal="center" wrapText="1"/>
    </xf>
    <xf numFmtId="1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textRotation="90"/>
    </xf>
    <xf numFmtId="0" fontId="0" fillId="0" borderId="0" xfId="0" applyNumberFormat="1"/>
    <xf numFmtId="14" fontId="1" fillId="0" borderId="0" xfId="0" applyNumberFormat="1" applyFont="1"/>
    <xf numFmtId="1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2" xfId="0" applyNumberFormat="1" applyBorder="1"/>
    <xf numFmtId="0" fontId="0" fillId="0" borderId="3" xfId="0" applyBorder="1"/>
    <xf numFmtId="0" fontId="0" fillId="0" borderId="4" xfId="0" applyNumberFormat="1" applyBorder="1"/>
    <xf numFmtId="0" fontId="0" fillId="0" borderId="5" xfId="0" applyBorder="1"/>
    <xf numFmtId="0" fontId="0" fillId="0" borderId="6" xfId="0" applyBorder="1"/>
    <xf numFmtId="164" fontId="0" fillId="0" borderId="0" xfId="0" applyNumberFormat="1"/>
    <xf numFmtId="0" fontId="2" fillId="0" borderId="0" xfId="0" applyFont="1" applyAlignment="1">
      <alignment textRotation="90"/>
    </xf>
    <xf numFmtId="0" fontId="0" fillId="0" borderId="1" xfId="0" pivotButton="1" applyBorder="1"/>
    <xf numFmtId="0" fontId="2" fillId="0" borderId="0" xfId="0" applyFont="1" applyAlignment="1">
      <alignment horizontal="center" textRotation="90" wrapText="1"/>
    </xf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2" fillId="0" borderId="0" xfId="0" applyNumberFormat="1" applyFont="1" applyAlignment="1">
      <alignment horizontal="center" textRotation="90"/>
    </xf>
    <xf numFmtId="164" fontId="1" fillId="0" borderId="0" xfId="0" applyNumberFormat="1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3" xfId="0" applyNumberFormat="1" applyBorder="1"/>
    <xf numFmtId="1" fontId="0" fillId="0" borderId="1" xfId="0" applyNumberFormat="1" applyBorder="1"/>
    <xf numFmtId="1" fontId="0" fillId="0" borderId="7" xfId="0" applyNumberFormat="1" applyBorder="1"/>
    <xf numFmtId="1" fontId="0" fillId="0" borderId="2" xfId="0" applyNumberFormat="1" applyBorder="1"/>
    <xf numFmtId="1" fontId="0" fillId="0" borderId="3" xfId="0" applyNumberFormat="1" applyBorder="1"/>
    <xf numFmtId="1" fontId="0" fillId="0" borderId="4" xfId="0" applyNumberFormat="1" applyBorder="1"/>
    <xf numFmtId="1" fontId="0" fillId="0" borderId="6" xfId="0" applyNumberFormat="1" applyBorder="1"/>
    <xf numFmtId="1" fontId="0" fillId="0" borderId="10" xfId="0" applyNumberFormat="1" applyBorder="1"/>
    <xf numFmtId="1" fontId="0" fillId="0" borderId="11" xfId="0" applyNumberFormat="1" applyBorder="1"/>
    <xf numFmtId="164" fontId="0" fillId="0" borderId="1" xfId="0" applyNumberFormat="1" applyBorder="1"/>
    <xf numFmtId="164" fontId="0" fillId="0" borderId="7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6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0" fontId="0" fillId="0" borderId="12" xfId="0" applyNumberFormat="1" applyBorder="1"/>
    <xf numFmtId="0" fontId="0" fillId="0" borderId="8" xfId="0" applyNumberFormat="1" applyBorder="1"/>
    <xf numFmtId="0" fontId="0" fillId="0" borderId="13" xfId="0" applyNumberFormat="1" applyBorder="1"/>
    <xf numFmtId="1" fontId="0" fillId="0" borderId="8" xfId="0" applyNumberFormat="1" applyBorder="1"/>
    <xf numFmtId="10" fontId="0" fillId="0" borderId="0" xfId="0" applyNumberFormat="1"/>
    <xf numFmtId="165" fontId="0" fillId="0" borderId="0" xfId="0" applyNumberFormat="1"/>
    <xf numFmtId="164" fontId="0" fillId="2" borderId="0" xfId="0" applyNumberFormat="1" applyFill="1"/>
    <xf numFmtId="0" fontId="0" fillId="0" borderId="6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1" fontId="0" fillId="0" borderId="0" xfId="0" applyNumberFormat="1" applyBorder="1"/>
    <xf numFmtId="0" fontId="0" fillId="0" borderId="0" xfId="0" applyNumberFormat="1" applyBorder="1"/>
    <xf numFmtId="164" fontId="0" fillId="0" borderId="0" xfId="0" applyNumberFormat="1" applyBorder="1"/>
    <xf numFmtId="14" fontId="0" fillId="0" borderId="16" xfId="0" applyNumberFormat="1" applyFill="1" applyBorder="1" applyAlignment="1"/>
    <xf numFmtId="0" fontId="0" fillId="0" borderId="16" xfId="0" applyFill="1" applyBorder="1" applyAlignment="1"/>
    <xf numFmtId="0" fontId="5" fillId="0" borderId="17" xfId="0" applyFont="1" applyFill="1" applyBorder="1" applyAlignment="1">
      <alignment horizontal="center"/>
    </xf>
    <xf numFmtId="14" fontId="0" fillId="0" borderId="18" xfId="0" applyNumberFormat="1" applyFill="1" applyBorder="1" applyAlignment="1"/>
    <xf numFmtId="0" fontId="0" fillId="0" borderId="18" xfId="0" applyFill="1" applyBorder="1" applyAlignment="1"/>
    <xf numFmtId="0" fontId="6" fillId="0" borderId="17" xfId="0" applyFont="1" applyFill="1" applyBorder="1" applyAlignment="1">
      <alignment horizontal="center"/>
    </xf>
    <xf numFmtId="0" fontId="4" fillId="0" borderId="0" xfId="0" applyFont="1"/>
    <xf numFmtId="14" fontId="0" fillId="3" borderId="0" xfId="0" applyNumberFormat="1" applyFill="1"/>
    <xf numFmtId="0" fontId="0" fillId="3" borderId="0" xfId="0" applyFill="1"/>
    <xf numFmtId="0" fontId="4" fillId="3" borderId="0" xfId="0" applyFont="1" applyFill="1"/>
    <xf numFmtId="0" fontId="0" fillId="0" borderId="0" xfId="0" applyFill="1" applyBorder="1"/>
    <xf numFmtId="164" fontId="0" fillId="3" borderId="0" xfId="0" applyNumberFormat="1" applyFill="1"/>
  </cellXfs>
  <cellStyles count="1">
    <cellStyle name="Normal" xfId="0" builtinId="0"/>
  </cellStyles>
  <dxfs count="10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64" formatCode="0.0"/>
    </dxf>
    <dxf>
      <numFmt numFmtId="1" formatCode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Joppa Flats Newburyport Average Number of Mummichogs Comparison 1998-2014</a:t>
            </a:r>
          </a:p>
        </c:rich>
      </c:tx>
      <c:layout>
        <c:manualLayout>
          <c:xMode val="edge"/>
          <c:yMode val="edge"/>
          <c:x val="0.14460285132382888"/>
          <c:y val="3.802281368821298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663951120162932"/>
          <c:y val="0.32699619771863175"/>
          <c:w val="0.6985743380855397"/>
          <c:h val="0.41064638783270013"/>
        </c:manualLayout>
      </c:layout>
      <c:barChart>
        <c:barDir val="col"/>
        <c:grouping val="clustered"/>
        <c:ser>
          <c:idx val="0"/>
          <c:order val="0"/>
          <c:tx>
            <c:strRef>
              <c:f>'pivot charts'!$G$6</c:f>
              <c:strCache>
                <c:ptCount val="1"/>
                <c:pt idx="0">
                  <c:v>Fall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'pivot charts'!$H$5:$J$5</c:f>
              <c:strCache>
                <c:ptCount val="3"/>
                <c:pt idx="0">
                  <c:v>Panne</c:v>
                </c:pt>
                <c:pt idx="1">
                  <c:v>River downstream</c:v>
                </c:pt>
                <c:pt idx="2">
                  <c:v>River upstream</c:v>
                </c:pt>
              </c:strCache>
            </c:strRef>
          </c:cat>
          <c:val>
            <c:numRef>
              <c:f>'pivot charts'!$H$6:$J$6</c:f>
              <c:numCache>
                <c:formatCode>0</c:formatCode>
                <c:ptCount val="3"/>
                <c:pt idx="0">
                  <c:v>207.1</c:v>
                </c:pt>
                <c:pt idx="1">
                  <c:v>67.175257731958766</c:v>
                </c:pt>
                <c:pt idx="2">
                  <c:v>35.883333333333333</c:v>
                </c:pt>
              </c:numCache>
            </c:numRef>
          </c:val>
        </c:ser>
        <c:ser>
          <c:idx val="1"/>
          <c:order val="1"/>
          <c:tx>
            <c:strRef>
              <c:f>'pivot charts'!$G$7</c:f>
              <c:strCache>
                <c:ptCount val="1"/>
                <c:pt idx="0">
                  <c:v>Spring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'pivot charts'!$H$5:$J$5</c:f>
              <c:strCache>
                <c:ptCount val="3"/>
                <c:pt idx="0">
                  <c:v>Panne</c:v>
                </c:pt>
                <c:pt idx="1">
                  <c:v>River downstream</c:v>
                </c:pt>
                <c:pt idx="2">
                  <c:v>River upstream</c:v>
                </c:pt>
              </c:strCache>
            </c:strRef>
          </c:cat>
          <c:val>
            <c:numRef>
              <c:f>'pivot charts'!$H$7:$J$7</c:f>
              <c:numCache>
                <c:formatCode>0</c:formatCode>
                <c:ptCount val="3"/>
                <c:pt idx="0">
                  <c:v>0</c:v>
                </c:pt>
                <c:pt idx="1">
                  <c:v>51.409090909090907</c:v>
                </c:pt>
                <c:pt idx="2">
                  <c:v>16.904761904761905</c:v>
                </c:pt>
              </c:numCache>
            </c:numRef>
          </c:val>
        </c:ser>
        <c:axId val="67259392"/>
        <c:axId val="67294336"/>
      </c:barChart>
      <c:catAx>
        <c:axId val="672593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Location</a:t>
                </a:r>
              </a:p>
            </c:rich>
          </c:tx>
          <c:layout>
            <c:manualLayout>
              <c:xMode val="edge"/>
              <c:yMode val="edge"/>
              <c:x val="0.43584521384928787"/>
              <c:y val="0.8555133079847908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94336"/>
        <c:crosses val="autoZero"/>
        <c:auto val="1"/>
        <c:lblAlgn val="ctr"/>
        <c:lblOffset val="100"/>
        <c:tickLblSkip val="1"/>
        <c:tickMarkSkip val="1"/>
      </c:catAx>
      <c:valAx>
        <c:axId val="672943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Amount</a:t>
                </a:r>
              </a:p>
            </c:rich>
          </c:tx>
          <c:layout>
            <c:manualLayout>
              <c:xMode val="edge"/>
              <c:yMode val="edge"/>
              <c:x val="3.2586558044806514E-2"/>
              <c:y val="0.43346007604562792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2593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761710794297353"/>
          <c:y val="0.45247148288973382"/>
          <c:w val="0.11608961303462315"/>
          <c:h val="0.1634980988593158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Joppa Flats Percent Frequencies of Different Species vs. Season 1998-2014</a:t>
            </a:r>
          </a:p>
        </c:rich>
      </c:tx>
      <c:layout>
        <c:manualLayout>
          <c:xMode val="edge"/>
          <c:yMode val="edge"/>
          <c:x val="0.11449172785986021"/>
          <c:y val="3.1578962465757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639713637151053E-2"/>
          <c:y val="0.16052631578947371"/>
          <c:w val="0.78860364900804314"/>
          <c:h val="0.51315789473684159"/>
        </c:manualLayout>
      </c:layout>
      <c:barChart>
        <c:barDir val="col"/>
        <c:grouping val="clustered"/>
        <c:ser>
          <c:idx val="0"/>
          <c:order val="0"/>
          <c:tx>
            <c:strRef>
              <c:f>'pivot charts'!$H$111</c:f>
              <c:strCache>
                <c:ptCount val="1"/>
                <c:pt idx="0">
                  <c:v>Fall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'pivot charts'!$G$113:$G$131</c:f>
              <c:strCache>
                <c:ptCount val="19"/>
                <c:pt idx="0">
                  <c:v>4spined stickleback</c:v>
                </c:pt>
                <c:pt idx="1">
                  <c:v> 3 spined stickleback</c:v>
                </c:pt>
                <c:pt idx="2">
                  <c:v>9 spined stickleback</c:v>
                </c:pt>
                <c:pt idx="3">
                  <c:v>Silverside</c:v>
                </c:pt>
                <c:pt idx="4">
                  <c:v>Eel</c:v>
                </c:pt>
                <c:pt idx="5">
                  <c:v>grass shrimp</c:v>
                </c:pt>
                <c:pt idx="6">
                  <c:v>? Shrimp</c:v>
                </c:pt>
                <c:pt idx="7">
                  <c:v>sand shrimp</c:v>
                </c:pt>
                <c:pt idx="8">
                  <c:v>mud snail</c:v>
                </c:pt>
                <c:pt idx="9">
                  <c:v>Green Crab</c:v>
                </c:pt>
                <c:pt idx="10">
                  <c:v>smelt</c:v>
                </c:pt>
                <c:pt idx="11">
                  <c:v> brown shrimp leech</c:v>
                </c:pt>
                <c:pt idx="12">
                  <c:v>green shrimp leech</c:v>
                </c:pt>
                <c:pt idx="13">
                  <c:v>red worm</c:v>
                </c:pt>
                <c:pt idx="14">
                  <c:v> amphipod</c:v>
                </c:pt>
                <c:pt idx="15">
                  <c:v>water skimmer</c:v>
                </c:pt>
                <c:pt idx="16">
                  <c:v>water beetle</c:v>
                </c:pt>
                <c:pt idx="17">
                  <c:v> green frog</c:v>
                </c:pt>
                <c:pt idx="18">
                  <c:v>rodent</c:v>
                </c:pt>
              </c:strCache>
            </c:strRef>
          </c:cat>
          <c:val>
            <c:numRef>
              <c:f>'pivot charts'!$H$113:$H$131</c:f>
              <c:numCache>
                <c:formatCode>0.00%</c:formatCode>
                <c:ptCount val="19"/>
                <c:pt idx="0">
                  <c:v>6.8728522336769758E-3</c:v>
                </c:pt>
                <c:pt idx="1">
                  <c:v>3.4364261168384879E-3</c:v>
                </c:pt>
                <c:pt idx="2">
                  <c:v>4.1237113402061855E-2</c:v>
                </c:pt>
                <c:pt idx="3">
                  <c:v>3.4364261168384883E-2</c:v>
                </c:pt>
                <c:pt idx="4">
                  <c:v>2.0618556701030927E-2</c:v>
                </c:pt>
                <c:pt idx="5">
                  <c:v>3.4364261168384879E-3</c:v>
                </c:pt>
                <c:pt idx="6">
                  <c:v>6.8728522336769758E-3</c:v>
                </c:pt>
                <c:pt idx="7">
                  <c:v>3.7800687285223365E-2</c:v>
                </c:pt>
                <c:pt idx="8">
                  <c:v>0</c:v>
                </c:pt>
                <c:pt idx="9">
                  <c:v>0.22680412371134021</c:v>
                </c:pt>
                <c:pt idx="10">
                  <c:v>3.4364261168384879E-3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1.7182130584192441E-2</c:v>
                </c:pt>
                <c:pt idx="17">
                  <c:v>2.7491408934707903E-2</c:v>
                </c:pt>
                <c:pt idx="18">
                  <c:v>6.8728522336769758E-3</c:v>
                </c:pt>
              </c:numCache>
            </c:numRef>
          </c:val>
        </c:ser>
        <c:ser>
          <c:idx val="1"/>
          <c:order val="1"/>
          <c:tx>
            <c:strRef>
              <c:f>'pivot charts'!$I$111</c:f>
              <c:strCache>
                <c:ptCount val="1"/>
                <c:pt idx="0">
                  <c:v>Spring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'pivot charts'!$G$113:$G$131</c:f>
              <c:strCache>
                <c:ptCount val="19"/>
                <c:pt idx="0">
                  <c:v>4spined stickleback</c:v>
                </c:pt>
                <c:pt idx="1">
                  <c:v> 3 spined stickleback</c:v>
                </c:pt>
                <c:pt idx="2">
                  <c:v>9 spined stickleback</c:v>
                </c:pt>
                <c:pt idx="3">
                  <c:v>Silverside</c:v>
                </c:pt>
                <c:pt idx="4">
                  <c:v>Eel</c:v>
                </c:pt>
                <c:pt idx="5">
                  <c:v>grass shrimp</c:v>
                </c:pt>
                <c:pt idx="6">
                  <c:v>? Shrimp</c:v>
                </c:pt>
                <c:pt idx="7">
                  <c:v>sand shrimp</c:v>
                </c:pt>
                <c:pt idx="8">
                  <c:v>mud snail</c:v>
                </c:pt>
                <c:pt idx="9">
                  <c:v>Green Crab</c:v>
                </c:pt>
                <c:pt idx="10">
                  <c:v>smelt</c:v>
                </c:pt>
                <c:pt idx="11">
                  <c:v> brown shrimp leech</c:v>
                </c:pt>
                <c:pt idx="12">
                  <c:v>green shrimp leech</c:v>
                </c:pt>
                <c:pt idx="13">
                  <c:v>red worm</c:v>
                </c:pt>
                <c:pt idx="14">
                  <c:v> amphipod</c:v>
                </c:pt>
                <c:pt idx="15">
                  <c:v>water skimmer</c:v>
                </c:pt>
                <c:pt idx="16">
                  <c:v>water beetle</c:v>
                </c:pt>
                <c:pt idx="17">
                  <c:v> green frog</c:v>
                </c:pt>
                <c:pt idx="18">
                  <c:v>rodent</c:v>
                </c:pt>
              </c:strCache>
            </c:strRef>
          </c:cat>
          <c:val>
            <c:numRef>
              <c:f>'pivot charts'!$I$113:$I$131</c:f>
              <c:numCache>
                <c:formatCode>0.00%</c:formatCode>
                <c:ptCount val="19"/>
                <c:pt idx="0">
                  <c:v>0</c:v>
                </c:pt>
                <c:pt idx="1">
                  <c:v>0.125</c:v>
                </c:pt>
                <c:pt idx="2">
                  <c:v>6.25E-2</c:v>
                </c:pt>
                <c:pt idx="3">
                  <c:v>8.9285714285714281E-3</c:v>
                </c:pt>
                <c:pt idx="4">
                  <c:v>7.1428571428571425E-2</c:v>
                </c:pt>
                <c:pt idx="5">
                  <c:v>5.3571428571428568E-2</c:v>
                </c:pt>
                <c:pt idx="6">
                  <c:v>3.5714285714285712E-2</c:v>
                </c:pt>
                <c:pt idx="7">
                  <c:v>8.9285714285714281E-3</c:v>
                </c:pt>
                <c:pt idx="8">
                  <c:v>8.9285714285714281E-3</c:v>
                </c:pt>
                <c:pt idx="9">
                  <c:v>1.7857142857142856E-2</c:v>
                </c:pt>
                <c:pt idx="10">
                  <c:v>0</c:v>
                </c:pt>
                <c:pt idx="11">
                  <c:v>8.9285714285714281E-3</c:v>
                </c:pt>
                <c:pt idx="12">
                  <c:v>2.6785714285714284E-2</c:v>
                </c:pt>
                <c:pt idx="13">
                  <c:v>8.9285714285714281E-3</c:v>
                </c:pt>
                <c:pt idx="14">
                  <c:v>8.0357142857142863E-2</c:v>
                </c:pt>
                <c:pt idx="15">
                  <c:v>8.9285714285714281E-3</c:v>
                </c:pt>
                <c:pt idx="16">
                  <c:v>8.9285714285714281E-3</c:v>
                </c:pt>
                <c:pt idx="17">
                  <c:v>0</c:v>
                </c:pt>
                <c:pt idx="18">
                  <c:v>1.7857142857142856E-2</c:v>
                </c:pt>
              </c:numCache>
            </c:numRef>
          </c:val>
        </c:ser>
        <c:axId val="22947328"/>
        <c:axId val="22948864"/>
      </c:barChart>
      <c:catAx>
        <c:axId val="229473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948864"/>
        <c:crosses val="autoZero"/>
        <c:auto val="1"/>
        <c:lblAlgn val="ctr"/>
        <c:lblOffset val="100"/>
        <c:tickLblSkip val="1"/>
        <c:tickMarkSkip val="1"/>
      </c:catAx>
      <c:valAx>
        <c:axId val="229488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9473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22132767111973"/>
          <c:y val="0.36578948123287958"/>
          <c:w val="9.0073431832256926E-2"/>
          <c:h val="0.1026318431507536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hPercent val="12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20480184927131"/>
          <c:y val="1.7419646860448814E-3"/>
          <c:w val="0.35569619835256489"/>
          <c:h val="0.80608365019011463"/>
        </c:manualLayout>
      </c:layout>
      <c:bar3DChart>
        <c:barDir val="bar"/>
        <c:grouping val="stacked"/>
        <c:ser>
          <c:idx val="0"/>
          <c:order val="0"/>
          <c:tx>
            <c:strRef>
              <c:f>'pivot charts'!$J$30</c:f>
              <c:strCache>
                <c:ptCount val="1"/>
                <c:pt idx="0">
                  <c:v>4spined stickleback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'pivot charts'!$K$28:$L$28</c:f>
              <c:strCache>
                <c:ptCount val="2"/>
                <c:pt idx="0">
                  <c:v>River downstream</c:v>
                </c:pt>
                <c:pt idx="1">
                  <c:v>River upstream</c:v>
                </c:pt>
              </c:strCache>
            </c:strRef>
          </c:cat>
          <c:val>
            <c:numRef>
              <c:f>'pivot charts'!$K$30:$L$30</c:f>
              <c:numCache>
                <c:formatCode>0.0%</c:formatCode>
                <c:ptCount val="2"/>
                <c:pt idx="0">
                  <c:v>7.0921985815602835E-3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'pivot charts'!$J$31</c:f>
              <c:strCache>
                <c:ptCount val="1"/>
                <c:pt idx="0">
                  <c:v> 3 spined stickleback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'pivot charts'!$K$28:$L$28</c:f>
              <c:strCache>
                <c:ptCount val="2"/>
                <c:pt idx="0">
                  <c:v>River downstream</c:v>
                </c:pt>
                <c:pt idx="1">
                  <c:v>River upstream</c:v>
                </c:pt>
              </c:strCache>
            </c:strRef>
          </c:cat>
          <c:val>
            <c:numRef>
              <c:f>'pivot charts'!$K$31:$L$31</c:f>
              <c:numCache>
                <c:formatCode>0.0%</c:formatCode>
                <c:ptCount val="2"/>
                <c:pt idx="0">
                  <c:v>7.0921985815602835E-3</c:v>
                </c:pt>
                <c:pt idx="1">
                  <c:v>2.5000000000000001E-2</c:v>
                </c:pt>
              </c:numCache>
            </c:numRef>
          </c:val>
        </c:ser>
        <c:ser>
          <c:idx val="2"/>
          <c:order val="2"/>
          <c:tx>
            <c:strRef>
              <c:f>'pivot charts'!$J$32</c:f>
              <c:strCache>
                <c:ptCount val="1"/>
                <c:pt idx="0">
                  <c:v>9 spined stickleback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'pivot charts'!$K$28:$L$28</c:f>
              <c:strCache>
                <c:ptCount val="2"/>
                <c:pt idx="0">
                  <c:v>River downstream</c:v>
                </c:pt>
                <c:pt idx="1">
                  <c:v>River upstream</c:v>
                </c:pt>
              </c:strCache>
            </c:strRef>
          </c:cat>
          <c:val>
            <c:numRef>
              <c:f>'pivot charts'!$K$32:$L$32</c:f>
              <c:numCache>
                <c:formatCode>0.0%</c:formatCode>
                <c:ptCount val="2"/>
                <c:pt idx="0">
                  <c:v>2.8368794326241134E-2</c:v>
                </c:pt>
                <c:pt idx="1">
                  <c:v>0.05</c:v>
                </c:pt>
              </c:numCache>
            </c:numRef>
          </c:val>
        </c:ser>
        <c:ser>
          <c:idx val="3"/>
          <c:order val="3"/>
          <c:tx>
            <c:strRef>
              <c:f>'pivot charts'!$J$33</c:f>
              <c:strCache>
                <c:ptCount val="1"/>
                <c:pt idx="0">
                  <c:v>Silverside</c:v>
                </c:pt>
              </c:strCache>
            </c:strRef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'pivot charts'!$K$28:$L$28</c:f>
              <c:strCache>
                <c:ptCount val="2"/>
                <c:pt idx="0">
                  <c:v>River downstream</c:v>
                </c:pt>
                <c:pt idx="1">
                  <c:v>River upstream</c:v>
                </c:pt>
              </c:strCache>
            </c:strRef>
          </c:cat>
          <c:val>
            <c:numRef>
              <c:f>'pivot charts'!$K$33:$L$33</c:f>
              <c:numCache>
                <c:formatCode>0.0%</c:formatCode>
                <c:ptCount val="2"/>
                <c:pt idx="0">
                  <c:v>4.9645390070921988E-2</c:v>
                </c:pt>
                <c:pt idx="1">
                  <c:v>1.2500000000000001E-2</c:v>
                </c:pt>
              </c:numCache>
            </c:numRef>
          </c:val>
        </c:ser>
        <c:ser>
          <c:idx val="4"/>
          <c:order val="4"/>
          <c:tx>
            <c:strRef>
              <c:f>'pivot charts'!$J$34</c:f>
              <c:strCache>
                <c:ptCount val="1"/>
                <c:pt idx="0">
                  <c:v>Eel</c:v>
                </c:pt>
              </c:strCache>
            </c:strRef>
          </c:tx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'pivot charts'!$K$28:$L$28</c:f>
              <c:strCache>
                <c:ptCount val="2"/>
                <c:pt idx="0">
                  <c:v>River downstream</c:v>
                </c:pt>
                <c:pt idx="1">
                  <c:v>River upstream</c:v>
                </c:pt>
              </c:strCache>
            </c:strRef>
          </c:cat>
          <c:val>
            <c:numRef>
              <c:f>'pivot charts'!$K$34:$L$34</c:f>
              <c:numCache>
                <c:formatCode>0.0%</c:formatCode>
                <c:ptCount val="2"/>
                <c:pt idx="0">
                  <c:v>4.9645390070921988E-2</c:v>
                </c:pt>
                <c:pt idx="1">
                  <c:v>3.7499999999999999E-2</c:v>
                </c:pt>
              </c:numCache>
            </c:numRef>
          </c:val>
        </c:ser>
        <c:ser>
          <c:idx val="5"/>
          <c:order val="5"/>
          <c:tx>
            <c:strRef>
              <c:f>'pivot charts'!$J$35</c:f>
              <c:strCache>
                <c:ptCount val="1"/>
                <c:pt idx="0">
                  <c:v>grass shrimp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'pivot charts'!$K$28:$L$28</c:f>
              <c:strCache>
                <c:ptCount val="2"/>
                <c:pt idx="0">
                  <c:v>River downstream</c:v>
                </c:pt>
                <c:pt idx="1">
                  <c:v>River upstream</c:v>
                </c:pt>
              </c:strCache>
            </c:strRef>
          </c:cat>
          <c:val>
            <c:numRef>
              <c:f>'pivot charts'!$K$35:$L$35</c:f>
              <c:numCache>
                <c:formatCode>0.0%</c:formatCode>
                <c:ptCount val="2"/>
                <c:pt idx="0">
                  <c:v>1.4184397163120567E-2</c:v>
                </c:pt>
                <c:pt idx="1">
                  <c:v>1.2500000000000001E-2</c:v>
                </c:pt>
              </c:numCache>
            </c:numRef>
          </c:val>
        </c:ser>
        <c:ser>
          <c:idx val="6"/>
          <c:order val="6"/>
          <c:tx>
            <c:strRef>
              <c:f>'pivot charts'!$J$36</c:f>
              <c:strCache>
                <c:ptCount val="1"/>
                <c:pt idx="0">
                  <c:v> Shrimp spp.</c:v>
                </c:pt>
              </c:strCache>
            </c:strRef>
          </c:tx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'pivot charts'!$K$28:$L$28</c:f>
              <c:strCache>
                <c:ptCount val="2"/>
                <c:pt idx="0">
                  <c:v>River downstream</c:v>
                </c:pt>
                <c:pt idx="1">
                  <c:v>River upstream</c:v>
                </c:pt>
              </c:strCache>
            </c:strRef>
          </c:cat>
          <c:val>
            <c:numRef>
              <c:f>'pivot charts'!$K$36:$L$36</c:f>
              <c:numCache>
                <c:formatCode>0.0%</c:formatCode>
                <c:ptCount val="2"/>
                <c:pt idx="0">
                  <c:v>7.0921985815602835E-3</c:v>
                </c:pt>
                <c:pt idx="1">
                  <c:v>3.7499999999999999E-2</c:v>
                </c:pt>
              </c:numCache>
            </c:numRef>
          </c:val>
        </c:ser>
        <c:ser>
          <c:idx val="7"/>
          <c:order val="7"/>
          <c:tx>
            <c:strRef>
              <c:f>'pivot charts'!$J$37</c:f>
              <c:strCache>
                <c:ptCount val="1"/>
                <c:pt idx="0">
                  <c:v>sand shrimp</c:v>
                </c:pt>
              </c:strCache>
            </c:strRef>
          </c:tx>
          <c:spPr>
            <a:solidFill>
              <a:srgbClr val="C0C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'pivot charts'!$K$28:$L$28</c:f>
              <c:strCache>
                <c:ptCount val="2"/>
                <c:pt idx="0">
                  <c:v>River downstream</c:v>
                </c:pt>
                <c:pt idx="1">
                  <c:v>River upstream</c:v>
                </c:pt>
              </c:strCache>
            </c:strRef>
          </c:cat>
          <c:val>
            <c:numRef>
              <c:f>'pivot charts'!$K$37:$L$37</c:f>
              <c:numCache>
                <c:formatCode>0.0%</c:formatCode>
                <c:ptCount val="2"/>
                <c:pt idx="0">
                  <c:v>6.3829787234042548E-2</c:v>
                </c:pt>
                <c:pt idx="1">
                  <c:v>1.2500000000000001E-2</c:v>
                </c:pt>
              </c:numCache>
            </c:numRef>
          </c:val>
        </c:ser>
        <c:ser>
          <c:idx val="8"/>
          <c:order val="8"/>
          <c:tx>
            <c:strRef>
              <c:f>'pivot charts'!$J$38</c:f>
              <c:strCache>
                <c:ptCount val="1"/>
                <c:pt idx="0">
                  <c:v>mud snail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'pivot charts'!$K$28:$L$28</c:f>
              <c:strCache>
                <c:ptCount val="2"/>
                <c:pt idx="0">
                  <c:v>River downstream</c:v>
                </c:pt>
                <c:pt idx="1">
                  <c:v>River upstream</c:v>
                </c:pt>
              </c:strCache>
            </c:strRef>
          </c:cat>
          <c:val>
            <c:numRef>
              <c:f>'pivot charts'!$K$38:$L$38</c:f>
              <c:numCache>
                <c:formatCode>0.0%</c:formatCode>
                <c:ptCount val="2"/>
                <c:pt idx="0">
                  <c:v>0</c:v>
                </c:pt>
                <c:pt idx="1">
                  <c:v>1.2500000000000001E-2</c:v>
                </c:pt>
              </c:numCache>
            </c:numRef>
          </c:val>
        </c:ser>
        <c:ser>
          <c:idx val="9"/>
          <c:order val="9"/>
          <c:tx>
            <c:strRef>
              <c:f>'pivot charts'!$J$39</c:f>
              <c:strCache>
                <c:ptCount val="1"/>
                <c:pt idx="0">
                  <c:v>Green Crab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'pivot charts'!$K$28:$L$28</c:f>
              <c:strCache>
                <c:ptCount val="2"/>
                <c:pt idx="0">
                  <c:v>River downstream</c:v>
                </c:pt>
                <c:pt idx="1">
                  <c:v>River upstream</c:v>
                </c:pt>
              </c:strCache>
            </c:strRef>
          </c:cat>
          <c:val>
            <c:numRef>
              <c:f>'pivot charts'!$K$39:$L$39</c:f>
              <c:numCache>
                <c:formatCode>0.0%</c:formatCode>
                <c:ptCount val="2"/>
                <c:pt idx="0">
                  <c:v>0.26950354609929078</c:v>
                </c:pt>
                <c:pt idx="1">
                  <c:v>0.1125</c:v>
                </c:pt>
              </c:numCache>
            </c:numRef>
          </c:val>
        </c:ser>
        <c:ser>
          <c:idx val="10"/>
          <c:order val="10"/>
          <c:tx>
            <c:strRef>
              <c:f>'pivot charts'!$J$40</c:f>
              <c:strCache>
                <c:ptCount val="1"/>
                <c:pt idx="0">
                  <c:v>smelt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'pivot charts'!$K$28:$L$28</c:f>
              <c:strCache>
                <c:ptCount val="2"/>
                <c:pt idx="0">
                  <c:v>River downstream</c:v>
                </c:pt>
                <c:pt idx="1">
                  <c:v>River upstream</c:v>
                </c:pt>
              </c:strCache>
            </c:strRef>
          </c:cat>
          <c:val>
            <c:numRef>
              <c:f>'pivot charts'!$K$40:$L$40</c:f>
              <c:numCache>
                <c:formatCode>0.0%</c:formatCode>
                <c:ptCount val="2"/>
                <c:pt idx="0">
                  <c:v>7.0921985815602835E-3</c:v>
                </c:pt>
                <c:pt idx="1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'pivot charts'!$J$41</c:f>
              <c:strCache>
                <c:ptCount val="1"/>
                <c:pt idx="0">
                  <c:v> brown shrimp leech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'pivot charts'!$K$28:$L$28</c:f>
              <c:strCache>
                <c:ptCount val="2"/>
                <c:pt idx="0">
                  <c:v>River downstream</c:v>
                </c:pt>
                <c:pt idx="1">
                  <c:v>River upstream</c:v>
                </c:pt>
              </c:strCache>
            </c:strRef>
          </c:cat>
          <c:val>
            <c:numRef>
              <c:f>'pivot charts'!$K$41:$L$41</c:f>
              <c:numCache>
                <c:formatCode>0.0%</c:formatCode>
                <c:ptCount val="2"/>
                <c:pt idx="0">
                  <c:v>0</c:v>
                </c:pt>
                <c:pt idx="1">
                  <c:v>1.2500000000000001E-2</c:v>
                </c:pt>
              </c:numCache>
            </c:numRef>
          </c:val>
        </c:ser>
        <c:ser>
          <c:idx val="12"/>
          <c:order val="12"/>
          <c:tx>
            <c:strRef>
              <c:f>'pivot charts'!$J$42</c:f>
              <c:strCache>
                <c:ptCount val="1"/>
                <c:pt idx="0">
                  <c:v>green shrimp leech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'pivot charts'!$K$28:$L$28</c:f>
              <c:strCache>
                <c:ptCount val="2"/>
                <c:pt idx="0">
                  <c:v>River downstream</c:v>
                </c:pt>
                <c:pt idx="1">
                  <c:v>River upstream</c:v>
                </c:pt>
              </c:strCache>
            </c:strRef>
          </c:cat>
          <c:val>
            <c:numRef>
              <c:f>'pivot charts'!$K$42:$L$42</c:f>
              <c:numCache>
                <c:formatCode>0.0%</c:formatCode>
                <c:ptCount val="2"/>
                <c:pt idx="0">
                  <c:v>7.0921985815602835E-3</c:v>
                </c:pt>
                <c:pt idx="1">
                  <c:v>2.5000000000000001E-2</c:v>
                </c:pt>
              </c:numCache>
            </c:numRef>
          </c:val>
        </c:ser>
        <c:ser>
          <c:idx val="13"/>
          <c:order val="13"/>
          <c:tx>
            <c:strRef>
              <c:f>'pivot charts'!$J$43</c:f>
              <c:strCache>
                <c:ptCount val="1"/>
                <c:pt idx="0">
                  <c:v>red worm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'pivot charts'!$K$28:$L$28</c:f>
              <c:strCache>
                <c:ptCount val="2"/>
                <c:pt idx="0">
                  <c:v>River downstream</c:v>
                </c:pt>
                <c:pt idx="1">
                  <c:v>River upstream</c:v>
                </c:pt>
              </c:strCache>
            </c:strRef>
          </c:cat>
          <c:val>
            <c:numRef>
              <c:f>'pivot charts'!$K$43:$L$43</c:f>
              <c:numCache>
                <c:formatCode>0.0%</c:formatCode>
                <c:ptCount val="2"/>
                <c:pt idx="0">
                  <c:v>7.0921985815602835E-3</c:v>
                </c:pt>
                <c:pt idx="1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'pivot charts'!$J$44</c:f>
              <c:strCache>
                <c:ptCount val="1"/>
                <c:pt idx="0">
                  <c:v> amphipod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'pivot charts'!$K$28:$L$28</c:f>
              <c:strCache>
                <c:ptCount val="2"/>
                <c:pt idx="0">
                  <c:v>River downstream</c:v>
                </c:pt>
                <c:pt idx="1">
                  <c:v>River upstream</c:v>
                </c:pt>
              </c:strCache>
            </c:strRef>
          </c:cat>
          <c:val>
            <c:numRef>
              <c:f>'pivot charts'!$K$44:$L$44</c:f>
              <c:numCache>
                <c:formatCode>0.0%</c:formatCode>
                <c:ptCount val="2"/>
                <c:pt idx="0">
                  <c:v>3.5460992907801421E-2</c:v>
                </c:pt>
                <c:pt idx="1">
                  <c:v>2.5000000000000001E-2</c:v>
                </c:pt>
              </c:numCache>
            </c:numRef>
          </c:val>
        </c:ser>
        <c:ser>
          <c:idx val="15"/>
          <c:order val="15"/>
          <c:tx>
            <c:strRef>
              <c:f>'pivot charts'!$J$45</c:f>
              <c:strCache>
                <c:ptCount val="1"/>
                <c:pt idx="0">
                  <c:v>water skimmer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'pivot charts'!$K$28:$L$28</c:f>
              <c:strCache>
                <c:ptCount val="2"/>
                <c:pt idx="0">
                  <c:v>River downstream</c:v>
                </c:pt>
                <c:pt idx="1">
                  <c:v>River upstream</c:v>
                </c:pt>
              </c:strCache>
            </c:strRef>
          </c:cat>
          <c:val>
            <c:numRef>
              <c:f>'pivot charts'!$K$45:$L$45</c:f>
              <c:numCache>
                <c:formatCode>0.0%</c:formatCode>
                <c:ptCount val="2"/>
                <c:pt idx="0">
                  <c:v>7.0921985815602835E-3</c:v>
                </c:pt>
                <c:pt idx="1">
                  <c:v>0</c:v>
                </c:pt>
              </c:numCache>
            </c:numRef>
          </c:val>
        </c:ser>
        <c:ser>
          <c:idx val="16"/>
          <c:order val="16"/>
          <c:tx>
            <c:strRef>
              <c:f>'pivot charts'!$J$46</c:f>
              <c:strCache>
                <c:ptCount val="1"/>
                <c:pt idx="0">
                  <c:v>water beetle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'pivot charts'!$K$28:$L$28</c:f>
              <c:strCache>
                <c:ptCount val="2"/>
                <c:pt idx="0">
                  <c:v>River downstream</c:v>
                </c:pt>
                <c:pt idx="1">
                  <c:v>River upstream</c:v>
                </c:pt>
              </c:strCache>
            </c:strRef>
          </c:cat>
          <c:val>
            <c:numRef>
              <c:f>'pivot charts'!$K$46:$L$46</c:f>
              <c:numCache>
                <c:formatCode>0.0%</c:formatCode>
                <c:ptCount val="2"/>
                <c:pt idx="0">
                  <c:v>1.4184397163120567E-2</c:v>
                </c:pt>
                <c:pt idx="1">
                  <c:v>1.2500000000000001E-2</c:v>
                </c:pt>
              </c:numCache>
            </c:numRef>
          </c:val>
        </c:ser>
        <c:ser>
          <c:idx val="17"/>
          <c:order val="17"/>
          <c:tx>
            <c:strRef>
              <c:f>'pivot charts'!$J$47</c:f>
              <c:strCache>
                <c:ptCount val="1"/>
                <c:pt idx="0">
                  <c:v> green frog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'pivot charts'!$K$28:$L$28</c:f>
              <c:strCache>
                <c:ptCount val="2"/>
                <c:pt idx="0">
                  <c:v>River downstream</c:v>
                </c:pt>
                <c:pt idx="1">
                  <c:v>River upstream</c:v>
                </c:pt>
              </c:strCache>
            </c:strRef>
          </c:cat>
          <c:val>
            <c:numRef>
              <c:f>'pivot charts'!$K$47:$L$47</c:f>
              <c:numCache>
                <c:formatCode>0.0%</c:formatCode>
                <c:ptCount val="2"/>
                <c:pt idx="0">
                  <c:v>2.8368794326241134E-2</c:v>
                </c:pt>
                <c:pt idx="1">
                  <c:v>3.7499999999999999E-2</c:v>
                </c:pt>
              </c:numCache>
            </c:numRef>
          </c:val>
        </c:ser>
        <c:ser>
          <c:idx val="18"/>
          <c:order val="18"/>
          <c:tx>
            <c:strRef>
              <c:f>'pivot charts'!$J$48</c:f>
              <c:strCache>
                <c:ptCount val="1"/>
                <c:pt idx="0">
                  <c:v>rodent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'pivot charts'!$K$28:$L$28</c:f>
              <c:strCache>
                <c:ptCount val="2"/>
                <c:pt idx="0">
                  <c:v>River downstream</c:v>
                </c:pt>
                <c:pt idx="1">
                  <c:v>River upstream</c:v>
                </c:pt>
              </c:strCache>
            </c:strRef>
          </c:cat>
          <c:val>
            <c:numRef>
              <c:f>'pivot charts'!$K$48:$L$48</c:f>
              <c:numCache>
                <c:formatCode>0.0%</c:formatCode>
                <c:ptCount val="2"/>
                <c:pt idx="0">
                  <c:v>7.0921985815602835E-3</c:v>
                </c:pt>
                <c:pt idx="1">
                  <c:v>2.1276595744680851E-2</c:v>
                </c:pt>
              </c:numCache>
            </c:numRef>
          </c:val>
        </c:ser>
        <c:shape val="box"/>
        <c:axId val="23406080"/>
        <c:axId val="23407616"/>
        <c:axId val="0"/>
      </c:bar3DChart>
      <c:catAx>
        <c:axId val="23406080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407616"/>
        <c:crosses val="autoZero"/>
        <c:auto val="1"/>
        <c:lblAlgn val="ctr"/>
        <c:lblOffset val="100"/>
        <c:tickLblSkip val="1"/>
        <c:tickMarkSkip val="1"/>
      </c:catAx>
      <c:valAx>
        <c:axId val="234076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4060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343947572591157"/>
          <c:y val="1.9011404062297118E-2"/>
          <c:w val="0.29979101668895153"/>
          <c:h val="0.9695816071771516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Joppa Flats, Newburyport Percent Frequency of Different Species 1998-2014</a:t>
            </a:r>
          </a:p>
        </c:rich>
      </c:tx>
      <c:layout>
        <c:manualLayout>
          <c:xMode val="edge"/>
          <c:yMode val="edge"/>
          <c:x val="0.12104311409603212"/>
          <c:y val="3.097324649980719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731864910427051"/>
          <c:y val="0.1349557522123894"/>
          <c:w val="0.84543915386252089"/>
          <c:h val="0.50096628982829539"/>
        </c:manualLayout>
      </c:layout>
      <c:barChart>
        <c:barDir val="col"/>
        <c:grouping val="clustered"/>
        <c:ser>
          <c:idx val="1"/>
          <c:order val="0"/>
          <c:tx>
            <c:strRef>
              <c:f>'pivot charts'!$K$28</c:f>
              <c:strCache>
                <c:ptCount val="1"/>
                <c:pt idx="0">
                  <c:v>River downstream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'pivot charts'!$J$29:$J$48</c:f>
              <c:strCache>
                <c:ptCount val="20"/>
                <c:pt idx="0">
                  <c:v> Mummichog</c:v>
                </c:pt>
                <c:pt idx="1">
                  <c:v>4spined stickleback</c:v>
                </c:pt>
                <c:pt idx="2">
                  <c:v> 3 spined stickleback</c:v>
                </c:pt>
                <c:pt idx="3">
                  <c:v>9 spined stickleback</c:v>
                </c:pt>
                <c:pt idx="4">
                  <c:v>Silverside</c:v>
                </c:pt>
                <c:pt idx="5">
                  <c:v>Eel</c:v>
                </c:pt>
                <c:pt idx="6">
                  <c:v>grass shrimp</c:v>
                </c:pt>
                <c:pt idx="7">
                  <c:v> Shrimp spp.</c:v>
                </c:pt>
                <c:pt idx="8">
                  <c:v>sand shrimp</c:v>
                </c:pt>
                <c:pt idx="9">
                  <c:v>mud snail</c:v>
                </c:pt>
                <c:pt idx="10">
                  <c:v>Green Crab</c:v>
                </c:pt>
                <c:pt idx="11">
                  <c:v>smelt</c:v>
                </c:pt>
                <c:pt idx="12">
                  <c:v> brown shrimp leech</c:v>
                </c:pt>
                <c:pt idx="13">
                  <c:v>green shrimp leech</c:v>
                </c:pt>
                <c:pt idx="14">
                  <c:v>red worm</c:v>
                </c:pt>
                <c:pt idx="15">
                  <c:v> amphipod</c:v>
                </c:pt>
                <c:pt idx="16">
                  <c:v>water skimmer</c:v>
                </c:pt>
                <c:pt idx="17">
                  <c:v>water beetle</c:v>
                </c:pt>
                <c:pt idx="18">
                  <c:v> green frog</c:v>
                </c:pt>
                <c:pt idx="19">
                  <c:v>rodent</c:v>
                </c:pt>
              </c:strCache>
            </c:strRef>
          </c:cat>
          <c:val>
            <c:numRef>
              <c:f>'pivot charts'!$K$29:$K$48</c:f>
              <c:numCache>
                <c:formatCode>0.0%</c:formatCode>
                <c:ptCount val="20"/>
                <c:pt idx="0">
                  <c:v>0.90780141843971629</c:v>
                </c:pt>
                <c:pt idx="1">
                  <c:v>7.0921985815602835E-3</c:v>
                </c:pt>
                <c:pt idx="2">
                  <c:v>7.0921985815602835E-3</c:v>
                </c:pt>
                <c:pt idx="3">
                  <c:v>2.8368794326241134E-2</c:v>
                </c:pt>
                <c:pt idx="4">
                  <c:v>4.9645390070921988E-2</c:v>
                </c:pt>
                <c:pt idx="5">
                  <c:v>4.9645390070921988E-2</c:v>
                </c:pt>
                <c:pt idx="6">
                  <c:v>1.4184397163120567E-2</c:v>
                </c:pt>
                <c:pt idx="7">
                  <c:v>7.0921985815602835E-3</c:v>
                </c:pt>
                <c:pt idx="8">
                  <c:v>6.3829787234042548E-2</c:v>
                </c:pt>
                <c:pt idx="9">
                  <c:v>0</c:v>
                </c:pt>
                <c:pt idx="10">
                  <c:v>0.26950354609929078</c:v>
                </c:pt>
                <c:pt idx="11">
                  <c:v>7.0921985815602835E-3</c:v>
                </c:pt>
                <c:pt idx="12">
                  <c:v>0</c:v>
                </c:pt>
                <c:pt idx="13">
                  <c:v>7.0921985815602835E-3</c:v>
                </c:pt>
                <c:pt idx="14">
                  <c:v>7.0921985815602835E-3</c:v>
                </c:pt>
                <c:pt idx="15">
                  <c:v>3.5460992907801421E-2</c:v>
                </c:pt>
                <c:pt idx="16">
                  <c:v>7.0921985815602835E-3</c:v>
                </c:pt>
                <c:pt idx="17">
                  <c:v>1.4184397163120567E-2</c:v>
                </c:pt>
                <c:pt idx="18">
                  <c:v>2.8368794326241134E-2</c:v>
                </c:pt>
                <c:pt idx="19">
                  <c:v>7.0921985815602835E-3</c:v>
                </c:pt>
              </c:numCache>
            </c:numRef>
          </c:val>
        </c:ser>
        <c:ser>
          <c:idx val="2"/>
          <c:order val="1"/>
          <c:tx>
            <c:strRef>
              <c:f>'pivot charts'!$L$28</c:f>
              <c:strCache>
                <c:ptCount val="1"/>
                <c:pt idx="0">
                  <c:v>River upstream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'pivot charts'!$J$29:$J$48</c:f>
              <c:strCache>
                <c:ptCount val="20"/>
                <c:pt idx="0">
                  <c:v> Mummichog</c:v>
                </c:pt>
                <c:pt idx="1">
                  <c:v>4spined stickleback</c:v>
                </c:pt>
                <c:pt idx="2">
                  <c:v> 3 spined stickleback</c:v>
                </c:pt>
                <c:pt idx="3">
                  <c:v>9 spined stickleback</c:v>
                </c:pt>
                <c:pt idx="4">
                  <c:v>Silverside</c:v>
                </c:pt>
                <c:pt idx="5">
                  <c:v>Eel</c:v>
                </c:pt>
                <c:pt idx="6">
                  <c:v>grass shrimp</c:v>
                </c:pt>
                <c:pt idx="7">
                  <c:v> Shrimp spp.</c:v>
                </c:pt>
                <c:pt idx="8">
                  <c:v>sand shrimp</c:v>
                </c:pt>
                <c:pt idx="9">
                  <c:v>mud snail</c:v>
                </c:pt>
                <c:pt idx="10">
                  <c:v>Green Crab</c:v>
                </c:pt>
                <c:pt idx="11">
                  <c:v>smelt</c:v>
                </c:pt>
                <c:pt idx="12">
                  <c:v> brown shrimp leech</c:v>
                </c:pt>
                <c:pt idx="13">
                  <c:v>green shrimp leech</c:v>
                </c:pt>
                <c:pt idx="14">
                  <c:v>red worm</c:v>
                </c:pt>
                <c:pt idx="15">
                  <c:v> amphipod</c:v>
                </c:pt>
                <c:pt idx="16">
                  <c:v>water skimmer</c:v>
                </c:pt>
                <c:pt idx="17">
                  <c:v>water beetle</c:v>
                </c:pt>
                <c:pt idx="18">
                  <c:v> green frog</c:v>
                </c:pt>
                <c:pt idx="19">
                  <c:v>rodent</c:v>
                </c:pt>
              </c:strCache>
            </c:strRef>
          </c:cat>
          <c:val>
            <c:numRef>
              <c:f>'pivot charts'!$L$29:$L$48</c:f>
              <c:numCache>
                <c:formatCode>0.0%</c:formatCode>
                <c:ptCount val="20"/>
                <c:pt idx="0">
                  <c:v>0.625</c:v>
                </c:pt>
                <c:pt idx="1">
                  <c:v>0</c:v>
                </c:pt>
                <c:pt idx="2">
                  <c:v>2.5000000000000001E-2</c:v>
                </c:pt>
                <c:pt idx="3">
                  <c:v>0.05</c:v>
                </c:pt>
                <c:pt idx="4">
                  <c:v>1.2500000000000001E-2</c:v>
                </c:pt>
                <c:pt idx="5">
                  <c:v>3.7499999999999999E-2</c:v>
                </c:pt>
                <c:pt idx="6">
                  <c:v>1.2500000000000001E-2</c:v>
                </c:pt>
                <c:pt idx="7">
                  <c:v>3.7499999999999999E-2</c:v>
                </c:pt>
                <c:pt idx="8">
                  <c:v>1.2500000000000001E-2</c:v>
                </c:pt>
                <c:pt idx="9">
                  <c:v>1.2500000000000001E-2</c:v>
                </c:pt>
                <c:pt idx="10">
                  <c:v>0.1125</c:v>
                </c:pt>
                <c:pt idx="11">
                  <c:v>0</c:v>
                </c:pt>
                <c:pt idx="12">
                  <c:v>1.2500000000000001E-2</c:v>
                </c:pt>
                <c:pt idx="13">
                  <c:v>2.5000000000000001E-2</c:v>
                </c:pt>
                <c:pt idx="14">
                  <c:v>0</c:v>
                </c:pt>
                <c:pt idx="15">
                  <c:v>2.5000000000000001E-2</c:v>
                </c:pt>
                <c:pt idx="16">
                  <c:v>0</c:v>
                </c:pt>
                <c:pt idx="17">
                  <c:v>1.2500000000000001E-2</c:v>
                </c:pt>
                <c:pt idx="18">
                  <c:v>3.7499999999999999E-2</c:v>
                </c:pt>
                <c:pt idx="19">
                  <c:v>2.1276595744680851E-2</c:v>
                </c:pt>
              </c:numCache>
            </c:numRef>
          </c:val>
        </c:ser>
        <c:ser>
          <c:idx val="0"/>
          <c:order val="2"/>
          <c:tx>
            <c:strRef>
              <c:f>'pivot charts'!$M$28</c:f>
              <c:strCache>
                <c:ptCount val="1"/>
                <c:pt idx="0">
                  <c:v>Panne</c:v>
                </c:pt>
              </c:strCache>
            </c:strRef>
          </c:tx>
          <c:cat>
            <c:strRef>
              <c:f>'pivot charts'!$J$29:$J$48</c:f>
              <c:strCache>
                <c:ptCount val="20"/>
                <c:pt idx="0">
                  <c:v> Mummichog</c:v>
                </c:pt>
                <c:pt idx="1">
                  <c:v>4spined stickleback</c:v>
                </c:pt>
                <c:pt idx="2">
                  <c:v> 3 spined stickleback</c:v>
                </c:pt>
                <c:pt idx="3">
                  <c:v>9 spined stickleback</c:v>
                </c:pt>
                <c:pt idx="4">
                  <c:v>Silverside</c:v>
                </c:pt>
                <c:pt idx="5">
                  <c:v>Eel</c:v>
                </c:pt>
                <c:pt idx="6">
                  <c:v>grass shrimp</c:v>
                </c:pt>
                <c:pt idx="7">
                  <c:v> Shrimp spp.</c:v>
                </c:pt>
                <c:pt idx="8">
                  <c:v>sand shrimp</c:v>
                </c:pt>
                <c:pt idx="9">
                  <c:v>mud snail</c:v>
                </c:pt>
                <c:pt idx="10">
                  <c:v>Green Crab</c:v>
                </c:pt>
                <c:pt idx="11">
                  <c:v>smelt</c:v>
                </c:pt>
                <c:pt idx="12">
                  <c:v> brown shrimp leech</c:v>
                </c:pt>
                <c:pt idx="13">
                  <c:v>green shrimp leech</c:v>
                </c:pt>
                <c:pt idx="14">
                  <c:v>red worm</c:v>
                </c:pt>
                <c:pt idx="15">
                  <c:v> amphipod</c:v>
                </c:pt>
                <c:pt idx="16">
                  <c:v>water skimmer</c:v>
                </c:pt>
                <c:pt idx="17">
                  <c:v>water beetle</c:v>
                </c:pt>
                <c:pt idx="18">
                  <c:v> green frog</c:v>
                </c:pt>
                <c:pt idx="19">
                  <c:v>rodent</c:v>
                </c:pt>
              </c:strCache>
            </c:strRef>
          </c:cat>
          <c:val>
            <c:numRef>
              <c:f>'pivot charts'!$M$29:$M$48</c:f>
              <c:numCache>
                <c:formatCode>0.0%</c:formatCode>
                <c:ptCount val="20"/>
                <c:pt idx="0">
                  <c:v>0.8571428571428571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"/>
          <c:order val="3"/>
          <c:tx>
            <c:strRef>
              <c:f>'pivot charts'!$N$28</c:f>
              <c:strCache>
                <c:ptCount val="1"/>
                <c:pt idx="0">
                  <c:v>Constructed Panne</c:v>
                </c:pt>
              </c:strCache>
            </c:strRef>
          </c:tx>
          <c:cat>
            <c:strRef>
              <c:f>'pivot charts'!$J$29:$J$48</c:f>
              <c:strCache>
                <c:ptCount val="20"/>
                <c:pt idx="0">
                  <c:v> Mummichog</c:v>
                </c:pt>
                <c:pt idx="1">
                  <c:v>4spined stickleback</c:v>
                </c:pt>
                <c:pt idx="2">
                  <c:v> 3 spined stickleback</c:v>
                </c:pt>
                <c:pt idx="3">
                  <c:v>9 spined stickleback</c:v>
                </c:pt>
                <c:pt idx="4">
                  <c:v>Silverside</c:v>
                </c:pt>
                <c:pt idx="5">
                  <c:v>Eel</c:v>
                </c:pt>
                <c:pt idx="6">
                  <c:v>grass shrimp</c:v>
                </c:pt>
                <c:pt idx="7">
                  <c:v> Shrimp spp.</c:v>
                </c:pt>
                <c:pt idx="8">
                  <c:v>sand shrimp</c:v>
                </c:pt>
                <c:pt idx="9">
                  <c:v>mud snail</c:v>
                </c:pt>
                <c:pt idx="10">
                  <c:v>Green Crab</c:v>
                </c:pt>
                <c:pt idx="11">
                  <c:v>smelt</c:v>
                </c:pt>
                <c:pt idx="12">
                  <c:v> brown shrimp leech</c:v>
                </c:pt>
                <c:pt idx="13">
                  <c:v>green shrimp leech</c:v>
                </c:pt>
                <c:pt idx="14">
                  <c:v>red worm</c:v>
                </c:pt>
                <c:pt idx="15">
                  <c:v> amphipod</c:v>
                </c:pt>
                <c:pt idx="16">
                  <c:v>water skimmer</c:v>
                </c:pt>
                <c:pt idx="17">
                  <c:v>water beetle</c:v>
                </c:pt>
                <c:pt idx="18">
                  <c:v> green frog</c:v>
                </c:pt>
                <c:pt idx="19">
                  <c:v>rodent</c:v>
                </c:pt>
              </c:strCache>
            </c:strRef>
          </c:cat>
          <c:val>
            <c:numRef>
              <c:f>'pivot charts'!$N$29:$N$48</c:f>
              <c:numCache>
                <c:formatCode>0.0%</c:formatCode>
                <c:ptCount val="20"/>
                <c:pt idx="0">
                  <c:v>0.87730061349693256</c:v>
                </c:pt>
                <c:pt idx="1">
                  <c:v>6.1349693251533744E-3</c:v>
                </c:pt>
                <c:pt idx="2">
                  <c:v>7.3619631901840496E-2</c:v>
                </c:pt>
                <c:pt idx="3">
                  <c:v>6.1349693251533742E-2</c:v>
                </c:pt>
                <c:pt idx="4">
                  <c:v>1.2269938650306749E-2</c:v>
                </c:pt>
                <c:pt idx="5">
                  <c:v>2.4539877300613498E-2</c:v>
                </c:pt>
                <c:pt idx="6">
                  <c:v>2.4539877300613498E-2</c:v>
                </c:pt>
                <c:pt idx="7">
                  <c:v>1.2269938650306749E-2</c:v>
                </c:pt>
                <c:pt idx="8">
                  <c:v>1.2269938650306749E-2</c:v>
                </c:pt>
                <c:pt idx="9">
                  <c:v>0</c:v>
                </c:pt>
                <c:pt idx="10">
                  <c:v>0.12883435582822086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1.2269938650306749E-2</c:v>
                </c:pt>
                <c:pt idx="16">
                  <c:v>0</c:v>
                </c:pt>
                <c:pt idx="17">
                  <c:v>1.8404907975460124E-2</c:v>
                </c:pt>
                <c:pt idx="18">
                  <c:v>6.1349693251533744E-3</c:v>
                </c:pt>
                <c:pt idx="19">
                  <c:v>0</c:v>
                </c:pt>
              </c:numCache>
            </c:numRef>
          </c:val>
        </c:ser>
        <c:axId val="24719744"/>
        <c:axId val="24721664"/>
      </c:barChart>
      <c:catAx>
        <c:axId val="247197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Species</a:t>
                </a:r>
              </a:p>
            </c:rich>
          </c:tx>
          <c:layout>
            <c:manualLayout>
              <c:xMode val="edge"/>
              <c:yMode val="edge"/>
              <c:x val="0.40533290875405337"/>
              <c:y val="0.881898840454741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721664"/>
        <c:crosses val="autoZero"/>
        <c:auto val="1"/>
        <c:lblAlgn val="ctr"/>
        <c:lblOffset val="100"/>
        <c:tickLblSkip val="1"/>
        <c:tickMarkSkip val="1"/>
      </c:catAx>
      <c:valAx>
        <c:axId val="247216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719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0529894241161064"/>
          <c:y val="0.15461571626313281"/>
          <c:w val="0.2316091554732129"/>
          <c:h val="0.24947665403496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 Joppa Flats, Newburyport Percent Frequencies of Mummichogs 1998-2014</a:t>
            </a:r>
          </a:p>
        </c:rich>
      </c:tx>
      <c:layout>
        <c:manualLayout>
          <c:xMode val="edge"/>
          <c:yMode val="edge"/>
          <c:x val="0.12627291242362518"/>
          <c:y val="3.8022747156605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379497623896809"/>
          <c:y val="0.22598624035631928"/>
          <c:w val="0.63475899524779422"/>
          <c:h val="0.57833094726795442"/>
        </c:manualLayout>
      </c:layout>
      <c:barChart>
        <c:barDir val="col"/>
        <c:grouping val="clustered"/>
        <c:ser>
          <c:idx val="0"/>
          <c:order val="0"/>
          <c:tx>
            <c:strRef>
              <c:f>'pivot charts'!$J$29</c:f>
              <c:strCache>
                <c:ptCount val="1"/>
                <c:pt idx="0">
                  <c:v> Mummichog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'pivot charts'!$K$28:$L$28</c:f>
              <c:strCache>
                <c:ptCount val="2"/>
                <c:pt idx="0">
                  <c:v>River downstream</c:v>
                </c:pt>
                <c:pt idx="1">
                  <c:v>River upstream</c:v>
                </c:pt>
              </c:strCache>
            </c:strRef>
          </c:cat>
          <c:val>
            <c:numRef>
              <c:f>'pivot charts'!$K$29:$L$29</c:f>
              <c:numCache>
                <c:formatCode>0.0%</c:formatCode>
                <c:ptCount val="2"/>
                <c:pt idx="0">
                  <c:v>0.90780141843971629</c:v>
                </c:pt>
                <c:pt idx="1">
                  <c:v>0.625</c:v>
                </c:pt>
              </c:numCache>
            </c:numRef>
          </c:val>
        </c:ser>
        <c:axId val="23053440"/>
        <c:axId val="23055360"/>
      </c:barChart>
      <c:catAx>
        <c:axId val="230534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Location</a:t>
                </a:r>
              </a:p>
            </c:rich>
          </c:tx>
          <c:layout>
            <c:manualLayout>
              <c:xMode val="edge"/>
              <c:yMode val="edge"/>
              <c:x val="0.41751527494908397"/>
              <c:y val="0.8908669370874094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055360"/>
        <c:crosses val="autoZero"/>
        <c:auto val="1"/>
        <c:lblAlgn val="ctr"/>
        <c:lblOffset val="100"/>
        <c:tickLblSkip val="1"/>
        <c:tickMarkSkip val="1"/>
      </c:catAx>
      <c:valAx>
        <c:axId val="230553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3.2586558044806514E-2"/>
              <c:y val="0.39923964049948307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053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022403258655904"/>
          <c:y val="0.46007595641453874"/>
          <c:w val="0.19348268839103874"/>
          <c:h val="8.365028235107009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</a:rPr>
              <a:t>Average # of mummichogs in pannes at Joppa: Comparing pannes cleared of wrack vs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</a:rPr>
              <a:t>year one wrack left - year 9 wrack left.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4530415161030724"/>
          <c:y val="0.22231052894089173"/>
          <c:w val="0.82490229803438897"/>
          <c:h val="0.47007138126425785"/>
        </c:manualLayout>
      </c:layout>
      <c:barChart>
        <c:barDir val="col"/>
        <c:grouping val="clustered"/>
        <c:ser>
          <c:idx val="0"/>
          <c:order val="0"/>
          <c:tx>
            <c:strRef>
              <c:f>'pivot charts'!$I$148</c:f>
              <c:strCache>
                <c:ptCount val="1"/>
                <c:pt idx="0">
                  <c:v>Boomerang</c:v>
                </c:pt>
              </c:strCache>
            </c:strRef>
          </c:tx>
          <c:cat>
            <c:strRef>
              <c:f>'pivot charts'!$J$147:$S$147</c:f>
              <c:strCache>
                <c:ptCount val="10"/>
                <c:pt idx="0">
                  <c:v>Pannes Cleared</c:v>
                </c:pt>
                <c:pt idx="1">
                  <c:v>Wrack Left Year 1</c:v>
                </c:pt>
                <c:pt idx="2">
                  <c:v>Wrack Left Year 2</c:v>
                </c:pt>
                <c:pt idx="3">
                  <c:v>Wrack Left Year 3</c:v>
                </c:pt>
                <c:pt idx="4">
                  <c:v>Wrack Left Year 4</c:v>
                </c:pt>
                <c:pt idx="5">
                  <c:v>Wrack Left Year 5</c:v>
                </c:pt>
                <c:pt idx="6">
                  <c:v>Wrack Left Year 6</c:v>
                </c:pt>
                <c:pt idx="7">
                  <c:v>Wrack Left Year 7</c:v>
                </c:pt>
                <c:pt idx="8">
                  <c:v>Wrack Left Year 8</c:v>
                </c:pt>
                <c:pt idx="9">
                  <c:v>Wrack Left Year 9</c:v>
                </c:pt>
              </c:strCache>
            </c:strRef>
          </c:cat>
          <c:val>
            <c:numRef>
              <c:f>'pivot charts'!$J$148:$S$148</c:f>
              <c:numCache>
                <c:formatCode>General</c:formatCode>
                <c:ptCount val="10"/>
                <c:pt idx="0">
                  <c:v>150.109375</c:v>
                </c:pt>
                <c:pt idx="1">
                  <c:v>39</c:v>
                </c:pt>
                <c:pt idx="2">
                  <c:v>77.55</c:v>
                </c:pt>
                <c:pt idx="3">
                  <c:v>41.25</c:v>
                </c:pt>
                <c:pt idx="4">
                  <c:v>41.25</c:v>
                </c:pt>
                <c:pt idx="5">
                  <c:v>134.33333333333334</c:v>
                </c:pt>
                <c:pt idx="6">
                  <c:v>69</c:v>
                </c:pt>
                <c:pt idx="8">
                  <c:v>253</c:v>
                </c:pt>
              </c:numCache>
            </c:numRef>
          </c:val>
        </c:ser>
        <c:ser>
          <c:idx val="1"/>
          <c:order val="1"/>
          <c:tx>
            <c:strRef>
              <c:f>'pivot charts'!$I$149</c:f>
              <c:strCache>
                <c:ptCount val="1"/>
                <c:pt idx="0">
                  <c:v>Doughnut Hole</c:v>
                </c:pt>
              </c:strCache>
            </c:strRef>
          </c:tx>
          <c:cat>
            <c:strRef>
              <c:f>'pivot charts'!$J$147:$S$147</c:f>
              <c:strCache>
                <c:ptCount val="10"/>
                <c:pt idx="0">
                  <c:v>Pannes Cleared</c:v>
                </c:pt>
                <c:pt idx="1">
                  <c:v>Wrack Left Year 1</c:v>
                </c:pt>
                <c:pt idx="2">
                  <c:v>Wrack Left Year 2</c:v>
                </c:pt>
                <c:pt idx="3">
                  <c:v>Wrack Left Year 3</c:v>
                </c:pt>
                <c:pt idx="4">
                  <c:v>Wrack Left Year 4</c:v>
                </c:pt>
                <c:pt idx="5">
                  <c:v>Wrack Left Year 5</c:v>
                </c:pt>
                <c:pt idx="6">
                  <c:v>Wrack Left Year 6</c:v>
                </c:pt>
                <c:pt idx="7">
                  <c:v>Wrack Left Year 7</c:v>
                </c:pt>
                <c:pt idx="8">
                  <c:v>Wrack Left Year 8</c:v>
                </c:pt>
                <c:pt idx="9">
                  <c:v>Wrack Left Year 9</c:v>
                </c:pt>
              </c:strCache>
            </c:strRef>
          </c:cat>
          <c:val>
            <c:numRef>
              <c:f>'pivot charts'!$J$149:$S$149</c:f>
              <c:numCache>
                <c:formatCode>General</c:formatCode>
                <c:ptCount val="10"/>
                <c:pt idx="0">
                  <c:v>216.13043478260869</c:v>
                </c:pt>
                <c:pt idx="1">
                  <c:v>0</c:v>
                </c:pt>
                <c:pt idx="2">
                  <c:v>104.33333333333333</c:v>
                </c:pt>
                <c:pt idx="3">
                  <c:v>5</c:v>
                </c:pt>
                <c:pt idx="4">
                  <c:v>135.75</c:v>
                </c:pt>
                <c:pt idx="5">
                  <c:v>73.666666666666671</c:v>
                </c:pt>
                <c:pt idx="6">
                  <c:v>31</c:v>
                </c:pt>
                <c:pt idx="7">
                  <c:v>343</c:v>
                </c:pt>
                <c:pt idx="8">
                  <c:v>41</c:v>
                </c:pt>
              </c:numCache>
            </c:numRef>
          </c:val>
        </c:ser>
        <c:axId val="23085056"/>
        <c:axId val="23086592"/>
      </c:barChart>
      <c:catAx>
        <c:axId val="2308505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086592"/>
        <c:crosses val="autoZero"/>
        <c:auto val="1"/>
        <c:lblAlgn val="ctr"/>
        <c:lblOffset val="100"/>
      </c:catAx>
      <c:valAx>
        <c:axId val="230865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Average # of mummichogs</a:t>
                </a:r>
              </a:p>
            </c:rich>
          </c:tx>
          <c:layout>
            <c:manualLayout>
              <c:xMode val="edge"/>
              <c:yMode val="edge"/>
              <c:x val="1.154876682498856E-2"/>
              <c:y val="0.22567174430299017"/>
            </c:manualLayout>
          </c:layout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085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446856968530223"/>
          <c:y val="0.83835533569456255"/>
          <c:w val="0.30802539462126355"/>
          <c:h val="0.16164479440069993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 Average</a:t>
            </a:r>
            <a:r>
              <a:rPr lang="en-US" baseline="0"/>
              <a:t> number of Mummichogs at Joppa Flats by location and year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8.3295233257133186E-2"/>
          <c:y val="0.29048761761922615"/>
          <c:w val="0.68721551943103887"/>
          <c:h val="0.55927830449765203"/>
        </c:manualLayout>
      </c:layout>
      <c:lineChart>
        <c:grouping val="standard"/>
        <c:ser>
          <c:idx val="1"/>
          <c:order val="0"/>
          <c:tx>
            <c:strRef>
              <c:f>'pivot charts'!$U$198</c:f>
              <c:strCache>
                <c:ptCount val="1"/>
                <c:pt idx="0">
                  <c:v>Panne</c:v>
                </c:pt>
              </c:strCache>
            </c:strRef>
          </c:tx>
          <c:cat>
            <c:numRef>
              <c:f>'pivot charts'!$V$197:$AL$197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'pivot charts'!$V$198:$AL$198</c:f>
              <c:numCache>
                <c:formatCode>General</c:formatCode>
                <c:ptCount val="17"/>
                <c:pt idx="8">
                  <c:v>226.6</c:v>
                </c:pt>
                <c:pt idx="13">
                  <c:v>124</c:v>
                </c:pt>
                <c:pt idx="16">
                  <c:v>172.5</c:v>
                </c:pt>
              </c:numCache>
            </c:numRef>
          </c:val>
        </c:ser>
        <c:ser>
          <c:idx val="2"/>
          <c:order val="1"/>
          <c:tx>
            <c:strRef>
              <c:f>'pivot charts'!$U$199</c:f>
              <c:strCache>
                <c:ptCount val="1"/>
                <c:pt idx="0">
                  <c:v>River downstream</c:v>
                </c:pt>
              </c:strCache>
            </c:strRef>
          </c:tx>
          <c:cat>
            <c:numRef>
              <c:f>'pivot charts'!$V$197:$AL$197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'pivot charts'!$V$199:$AL$199</c:f>
              <c:numCache>
                <c:formatCode>General</c:formatCode>
                <c:ptCount val="17"/>
                <c:pt idx="0">
                  <c:v>42.782608695652172</c:v>
                </c:pt>
                <c:pt idx="1">
                  <c:v>68.142857142857139</c:v>
                </c:pt>
                <c:pt idx="2">
                  <c:v>44.9</c:v>
                </c:pt>
                <c:pt idx="3">
                  <c:v>60.904761904761905</c:v>
                </c:pt>
                <c:pt idx="4">
                  <c:v>55.166666666666664</c:v>
                </c:pt>
                <c:pt idx="5">
                  <c:v>49.8</c:v>
                </c:pt>
                <c:pt idx="6">
                  <c:v>79.625</c:v>
                </c:pt>
                <c:pt idx="7">
                  <c:v>106</c:v>
                </c:pt>
                <c:pt idx="8">
                  <c:v>147</c:v>
                </c:pt>
                <c:pt idx="9">
                  <c:v>87.666666666666671</c:v>
                </c:pt>
                <c:pt idx="10">
                  <c:v>48.6</c:v>
                </c:pt>
                <c:pt idx="11">
                  <c:v>56.25</c:v>
                </c:pt>
                <c:pt idx="12">
                  <c:v>85.25</c:v>
                </c:pt>
                <c:pt idx="13">
                  <c:v>65.25</c:v>
                </c:pt>
                <c:pt idx="14">
                  <c:v>75</c:v>
                </c:pt>
                <c:pt idx="15">
                  <c:v>75.333333333333329</c:v>
                </c:pt>
                <c:pt idx="16">
                  <c:v>52.5</c:v>
                </c:pt>
              </c:numCache>
            </c:numRef>
          </c:val>
        </c:ser>
        <c:ser>
          <c:idx val="3"/>
          <c:order val="2"/>
          <c:tx>
            <c:strRef>
              <c:f>'pivot charts'!$U$200</c:f>
              <c:strCache>
                <c:ptCount val="1"/>
                <c:pt idx="0">
                  <c:v>River upstream</c:v>
                </c:pt>
              </c:strCache>
            </c:strRef>
          </c:tx>
          <c:cat>
            <c:numRef>
              <c:f>'pivot charts'!$V$197:$AL$197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'pivot charts'!$V$200:$AL$200</c:f>
              <c:numCache>
                <c:formatCode>General</c:formatCode>
                <c:ptCount val="17"/>
                <c:pt idx="0">
                  <c:v>1.2222222222222223</c:v>
                </c:pt>
                <c:pt idx="1">
                  <c:v>8.25</c:v>
                </c:pt>
                <c:pt idx="2">
                  <c:v>6.1428571428571432</c:v>
                </c:pt>
                <c:pt idx="3">
                  <c:v>0.22222222222222221</c:v>
                </c:pt>
                <c:pt idx="4">
                  <c:v>3.3333333333333335</c:v>
                </c:pt>
                <c:pt idx="5">
                  <c:v>49.3</c:v>
                </c:pt>
                <c:pt idx="6">
                  <c:v>65.142857142857139</c:v>
                </c:pt>
                <c:pt idx="7">
                  <c:v>45.8</c:v>
                </c:pt>
                <c:pt idx="8">
                  <c:v>0</c:v>
                </c:pt>
                <c:pt idx="9">
                  <c:v>0.33333333333333331</c:v>
                </c:pt>
                <c:pt idx="10">
                  <c:v>0</c:v>
                </c:pt>
                <c:pt idx="11">
                  <c:v>15.5</c:v>
                </c:pt>
                <c:pt idx="12">
                  <c:v>151</c:v>
                </c:pt>
                <c:pt idx="13">
                  <c:v>15.75</c:v>
                </c:pt>
                <c:pt idx="14">
                  <c:v>12</c:v>
                </c:pt>
                <c:pt idx="15">
                  <c:v>108</c:v>
                </c:pt>
                <c:pt idx="16">
                  <c:v>38.75</c:v>
                </c:pt>
              </c:numCache>
            </c:numRef>
          </c:val>
        </c:ser>
        <c:ser>
          <c:idx val="4"/>
          <c:order val="3"/>
          <c:tx>
            <c:strRef>
              <c:f>'pivot charts'!$U$201</c:f>
              <c:strCache>
                <c:ptCount val="1"/>
                <c:pt idx="0">
                  <c:v>Constructed Panne</c:v>
                </c:pt>
              </c:strCache>
            </c:strRef>
          </c:tx>
          <c:cat>
            <c:numRef>
              <c:f>'pivot charts'!$V$197:$AL$197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'pivot charts'!$V$201:$AL$201</c:f>
              <c:numCache>
                <c:formatCode>General</c:formatCode>
                <c:ptCount val="17"/>
                <c:pt idx="0">
                  <c:v>0</c:v>
                </c:pt>
                <c:pt idx="1">
                  <c:v>159.16666666666666</c:v>
                </c:pt>
                <c:pt idx="2">
                  <c:v>201.38461538461539</c:v>
                </c:pt>
                <c:pt idx="3">
                  <c:v>171.88235294117646</c:v>
                </c:pt>
                <c:pt idx="4">
                  <c:v>172.73333333333332</c:v>
                </c:pt>
                <c:pt idx="5">
                  <c:v>148.1904761904762</c:v>
                </c:pt>
                <c:pt idx="6">
                  <c:v>242.85714285714286</c:v>
                </c:pt>
                <c:pt idx="7">
                  <c:v>158.38095238095238</c:v>
                </c:pt>
                <c:pt idx="8">
                  <c:v>116.25</c:v>
                </c:pt>
                <c:pt idx="9">
                  <c:v>85.5</c:v>
                </c:pt>
                <c:pt idx="10">
                  <c:v>16.2</c:v>
                </c:pt>
                <c:pt idx="11">
                  <c:v>88.5</c:v>
                </c:pt>
                <c:pt idx="12">
                  <c:v>97.75</c:v>
                </c:pt>
                <c:pt idx="13">
                  <c:v>56.333333333333336</c:v>
                </c:pt>
                <c:pt idx="14">
                  <c:v>343</c:v>
                </c:pt>
                <c:pt idx="15">
                  <c:v>143</c:v>
                </c:pt>
                <c:pt idx="16">
                  <c:v>0</c:v>
                </c:pt>
              </c:numCache>
            </c:numRef>
          </c:val>
        </c:ser>
        <c:marker val="1"/>
        <c:axId val="23138304"/>
        <c:axId val="23139840"/>
      </c:lineChart>
      <c:catAx>
        <c:axId val="2313830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5400000"/>
          <a:lstStyle/>
          <a:p>
            <a:pPr>
              <a:defRPr/>
            </a:pPr>
            <a:endParaRPr lang="en-US"/>
          </a:p>
        </c:txPr>
        <c:crossAx val="23139840"/>
        <c:crosses val="autoZero"/>
        <c:auto val="1"/>
        <c:lblAlgn val="ctr"/>
        <c:lblOffset val="100"/>
        <c:tickLblSkip val="1"/>
      </c:catAx>
      <c:valAx>
        <c:axId val="2313984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23138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244623655913979"/>
          <c:y val="0.31546092452729124"/>
          <c:w val="0.23486559139784946"/>
          <c:h val="0.58200296391522488"/>
        </c:manualLayout>
      </c:layout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Joppa Flats, Newburyport Average Mummichog Volume Comparison 1998-2014</a:t>
            </a:r>
          </a:p>
        </c:rich>
      </c:tx>
      <c:layout>
        <c:manualLayout>
          <c:xMode val="edge"/>
          <c:yMode val="edge"/>
          <c:x val="0.1364563109445"/>
          <c:y val="2.661596958174911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052953156822845"/>
          <c:y val="0.32699619771863192"/>
          <c:w val="0.70468431771894091"/>
          <c:h val="0.41064638783270035"/>
        </c:manualLayout>
      </c:layout>
      <c:barChart>
        <c:barDir val="col"/>
        <c:grouping val="clustered"/>
        <c:ser>
          <c:idx val="0"/>
          <c:order val="0"/>
          <c:tx>
            <c:strRef>
              <c:f>'pivot charts'!$G$16</c:f>
              <c:strCache>
                <c:ptCount val="1"/>
                <c:pt idx="0">
                  <c:v>Fall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'pivot charts'!$H$15:$J$15</c:f>
              <c:strCache>
                <c:ptCount val="3"/>
                <c:pt idx="0">
                  <c:v>Panne</c:v>
                </c:pt>
                <c:pt idx="1">
                  <c:v>River downstream</c:v>
                </c:pt>
                <c:pt idx="2">
                  <c:v>River upstream</c:v>
                </c:pt>
              </c:strCache>
            </c:strRef>
          </c:cat>
          <c:val>
            <c:numRef>
              <c:f>'pivot charts'!$H$16:$J$16</c:f>
              <c:numCache>
                <c:formatCode>0.0</c:formatCode>
                <c:ptCount val="3"/>
                <c:pt idx="0">
                  <c:v>2.0339211860293025</c:v>
                </c:pt>
                <c:pt idx="1">
                  <c:v>2.1486536257399633</c:v>
                </c:pt>
                <c:pt idx="2">
                  <c:v>1.8806078643578643</c:v>
                </c:pt>
              </c:numCache>
            </c:numRef>
          </c:val>
        </c:ser>
        <c:ser>
          <c:idx val="1"/>
          <c:order val="1"/>
          <c:tx>
            <c:strRef>
              <c:f>'pivot charts'!$G$17</c:f>
              <c:strCache>
                <c:ptCount val="1"/>
                <c:pt idx="0">
                  <c:v>Spring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'pivot charts'!$H$15:$J$15</c:f>
              <c:strCache>
                <c:ptCount val="3"/>
                <c:pt idx="0">
                  <c:v>Panne</c:v>
                </c:pt>
                <c:pt idx="1">
                  <c:v>River downstream</c:v>
                </c:pt>
                <c:pt idx="2">
                  <c:v>River upstream</c:v>
                </c:pt>
              </c:strCache>
            </c:strRef>
          </c:cat>
          <c:val>
            <c:numRef>
              <c:f>'pivot charts'!$H$17:$J$17</c:f>
              <c:numCache>
                <c:formatCode>0.0</c:formatCode>
                <c:ptCount val="3"/>
                <c:pt idx="0">
                  <c:v>0</c:v>
                </c:pt>
                <c:pt idx="1">
                  <c:v>2.8926216925796107</c:v>
                </c:pt>
                <c:pt idx="2">
                  <c:v>2.6640600176522509</c:v>
                </c:pt>
              </c:numCache>
            </c:numRef>
          </c:val>
        </c:ser>
        <c:axId val="23172992"/>
        <c:axId val="23289856"/>
      </c:barChart>
      <c:catAx>
        <c:axId val="231729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Location</a:t>
                </a:r>
              </a:p>
            </c:rich>
          </c:tx>
          <c:layout>
            <c:manualLayout>
              <c:xMode val="edge"/>
              <c:yMode val="edge"/>
              <c:x val="0.43380861176136826"/>
              <c:y val="0.8555133079847908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289856"/>
        <c:crosses val="autoZero"/>
        <c:auto val="1"/>
        <c:lblAlgn val="ctr"/>
        <c:lblOffset val="100"/>
        <c:tickLblSkip val="1"/>
        <c:tickMarkSkip val="1"/>
      </c:catAx>
      <c:valAx>
        <c:axId val="232898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Volume (ml)</a:t>
                </a:r>
              </a:p>
            </c:rich>
          </c:tx>
          <c:layout>
            <c:manualLayout>
              <c:xMode val="edge"/>
              <c:yMode val="edge"/>
              <c:x val="3.2586529594403613E-2"/>
              <c:y val="0.38022813688212931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72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761700525480145"/>
          <c:y val="0.45247148288973382"/>
          <c:w val="0.11608951168006285"/>
          <c:h val="0.1634980988593158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/>
              <a:t>Average # mummichogs at </a:t>
            </a:r>
          </a:p>
          <a:p>
            <a:pPr>
              <a:defRPr/>
            </a:pPr>
            <a:r>
              <a:rPr lang="en-US" sz="1400"/>
              <a:t>Joppa  Flats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'pivot charts'!$K$216</c:f>
              <c:strCache>
                <c:ptCount val="1"/>
                <c:pt idx="0">
                  <c:v>Pre restoration</c:v>
                </c:pt>
              </c:strCache>
            </c:strRef>
          </c:tx>
          <c:cat>
            <c:strRef>
              <c:f>'pivot charts'!$L$215:$M$215</c:f>
              <c:strCache>
                <c:ptCount val="2"/>
                <c:pt idx="0">
                  <c:v>River downstream</c:v>
                </c:pt>
                <c:pt idx="1">
                  <c:v>River upstream</c:v>
                </c:pt>
              </c:strCache>
            </c:strRef>
          </c:cat>
          <c:val>
            <c:numRef>
              <c:f>'pivot charts'!$L$216:$M$216</c:f>
              <c:numCache>
                <c:formatCode>General</c:formatCode>
                <c:ptCount val="2"/>
                <c:pt idx="0">
                  <c:v>61.20967741935484</c:v>
                </c:pt>
                <c:pt idx="1">
                  <c:v>20.76923076923077</c:v>
                </c:pt>
              </c:numCache>
            </c:numRef>
          </c:val>
        </c:ser>
        <c:ser>
          <c:idx val="1"/>
          <c:order val="1"/>
          <c:tx>
            <c:strRef>
              <c:f>'pivot charts'!$K$217</c:f>
              <c:strCache>
                <c:ptCount val="1"/>
                <c:pt idx="0">
                  <c:v>Post restoration</c:v>
                </c:pt>
              </c:strCache>
            </c:strRef>
          </c:tx>
          <c:cat>
            <c:strRef>
              <c:f>'pivot charts'!$L$215:$M$215</c:f>
              <c:strCache>
                <c:ptCount val="2"/>
                <c:pt idx="0">
                  <c:v>River downstream</c:v>
                </c:pt>
                <c:pt idx="1">
                  <c:v>River upstream</c:v>
                </c:pt>
              </c:strCache>
            </c:strRef>
          </c:cat>
          <c:val>
            <c:numRef>
              <c:f>'pivot charts'!$L$217:$M$217</c:f>
              <c:numCache>
                <c:formatCode>General</c:formatCode>
                <c:ptCount val="2"/>
                <c:pt idx="0">
                  <c:v>74.25</c:v>
                </c:pt>
                <c:pt idx="1">
                  <c:v>72.375</c:v>
                </c:pt>
              </c:numCache>
            </c:numRef>
          </c:val>
        </c:ser>
        <c:axId val="23297408"/>
        <c:axId val="23299200"/>
      </c:barChart>
      <c:catAx>
        <c:axId val="23297408"/>
        <c:scaling>
          <c:orientation val="minMax"/>
        </c:scaling>
        <c:axPos val="b"/>
        <c:numFmt formatCode="General" sourceLinked="1"/>
        <c:majorTickMark val="none"/>
        <c:tickLblPos val="nextTo"/>
        <c:crossAx val="23299200"/>
        <c:crosses val="autoZero"/>
        <c:auto val="1"/>
        <c:lblAlgn val="ctr"/>
        <c:lblOffset val="100"/>
      </c:catAx>
      <c:valAx>
        <c:axId val="2329920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2329740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'pivot charts'!$L$236</c:f>
              <c:strCache>
                <c:ptCount val="1"/>
                <c:pt idx="0">
                  <c:v>Area</c:v>
                </c:pt>
              </c:strCache>
            </c:strRef>
          </c:tx>
          <c:val>
            <c:numRef>
              <c:f>'pivot charts'!$M$237:$Y$237</c:f>
              <c:numCache>
                <c:formatCode>General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val>
        </c:ser>
        <c:ser>
          <c:idx val="1"/>
          <c:order val="1"/>
          <c:tx>
            <c:strRef>
              <c:f>'pivot charts'!$L$238</c:f>
              <c:strCache>
                <c:ptCount val="1"/>
                <c:pt idx="0">
                  <c:v>Constructed Panne</c:v>
                </c:pt>
              </c:strCache>
            </c:strRef>
          </c:tx>
          <c:val>
            <c:numRef>
              <c:f>'pivot charts'!$M$238:$Y$238</c:f>
              <c:numCache>
                <c:formatCode>General</c:formatCode>
                <c:ptCount val="13"/>
                <c:pt idx="0">
                  <c:v>159.16666666666666</c:v>
                </c:pt>
                <c:pt idx="1">
                  <c:v>201.38461538461539</c:v>
                </c:pt>
                <c:pt idx="2">
                  <c:v>171.88235294117646</c:v>
                </c:pt>
                <c:pt idx="3">
                  <c:v>172.73333333333332</c:v>
                </c:pt>
                <c:pt idx="4">
                  <c:v>148.1904761904762</c:v>
                </c:pt>
                <c:pt idx="5">
                  <c:v>242.85714285714286</c:v>
                </c:pt>
                <c:pt idx="6">
                  <c:v>158.38095238095238</c:v>
                </c:pt>
                <c:pt idx="7">
                  <c:v>116.25</c:v>
                </c:pt>
                <c:pt idx="8">
                  <c:v>85.5</c:v>
                </c:pt>
                <c:pt idx="9">
                  <c:v>16.2</c:v>
                </c:pt>
                <c:pt idx="10">
                  <c:v>88.5</c:v>
                </c:pt>
                <c:pt idx="11">
                  <c:v>97.75</c:v>
                </c:pt>
                <c:pt idx="12">
                  <c:v>56.333333333333336</c:v>
                </c:pt>
              </c:numCache>
            </c:numRef>
          </c:val>
        </c:ser>
        <c:marker val="1"/>
        <c:axId val="23201280"/>
        <c:axId val="23202816"/>
      </c:lineChart>
      <c:catAx>
        <c:axId val="23201280"/>
        <c:scaling>
          <c:orientation val="minMax"/>
        </c:scaling>
        <c:axPos val="b"/>
        <c:numFmt formatCode="General" sourceLinked="1"/>
        <c:tickLblPos val="nextTo"/>
        <c:crossAx val="23202816"/>
        <c:crosses val="autoZero"/>
        <c:auto val="1"/>
        <c:lblAlgn val="ctr"/>
        <c:lblOffset val="100"/>
      </c:catAx>
      <c:valAx>
        <c:axId val="23202816"/>
        <c:scaling>
          <c:orientation val="minMax"/>
        </c:scaling>
        <c:axPos val="l"/>
        <c:majorGridlines/>
        <c:numFmt formatCode="General" sourceLinked="1"/>
        <c:tickLblPos val="nextTo"/>
        <c:crossAx val="2320128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lineChart>
        <c:grouping val="standard"/>
        <c:ser>
          <c:idx val="0"/>
          <c:order val="0"/>
          <c:tx>
            <c:strRef>
              <c:f>'pivot charts'!$L$238</c:f>
              <c:strCache>
                <c:ptCount val="1"/>
                <c:pt idx="0">
                  <c:v>Constructed Panne</c:v>
                </c:pt>
              </c:strCache>
            </c:strRef>
          </c:tx>
          <c:cat>
            <c:numRef>
              <c:f>'pivot charts'!$M$237:$Y$237</c:f>
              <c:numCache>
                <c:formatCode>General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cat>
          <c:val>
            <c:numRef>
              <c:f>'pivot charts'!$M$238:$Y$238</c:f>
              <c:numCache>
                <c:formatCode>General</c:formatCode>
                <c:ptCount val="13"/>
                <c:pt idx="0">
                  <c:v>159.16666666666666</c:v>
                </c:pt>
                <c:pt idx="1">
                  <c:v>201.38461538461539</c:v>
                </c:pt>
                <c:pt idx="2">
                  <c:v>171.88235294117646</c:v>
                </c:pt>
                <c:pt idx="3">
                  <c:v>172.73333333333332</c:v>
                </c:pt>
                <c:pt idx="4">
                  <c:v>148.1904761904762</c:v>
                </c:pt>
                <c:pt idx="5">
                  <c:v>242.85714285714286</c:v>
                </c:pt>
                <c:pt idx="6">
                  <c:v>158.38095238095238</c:v>
                </c:pt>
                <c:pt idx="7">
                  <c:v>116.25</c:v>
                </c:pt>
                <c:pt idx="8">
                  <c:v>85.5</c:v>
                </c:pt>
                <c:pt idx="9">
                  <c:v>16.2</c:v>
                </c:pt>
                <c:pt idx="10">
                  <c:v>88.5</c:v>
                </c:pt>
                <c:pt idx="11">
                  <c:v>97.75</c:v>
                </c:pt>
                <c:pt idx="12">
                  <c:v>56.333333333333336</c:v>
                </c:pt>
              </c:numCache>
            </c:numRef>
          </c:val>
        </c:ser>
        <c:marker val="1"/>
        <c:axId val="23230720"/>
        <c:axId val="23232512"/>
      </c:lineChart>
      <c:catAx>
        <c:axId val="23230720"/>
        <c:scaling>
          <c:orientation val="minMax"/>
        </c:scaling>
        <c:axPos val="b"/>
        <c:numFmt formatCode="General" sourceLinked="1"/>
        <c:tickLblPos val="nextTo"/>
        <c:crossAx val="23232512"/>
        <c:crosses val="autoZero"/>
        <c:auto val="1"/>
        <c:lblAlgn val="ctr"/>
        <c:lblOffset val="100"/>
      </c:catAx>
      <c:valAx>
        <c:axId val="23232512"/>
        <c:scaling>
          <c:orientation val="minMax"/>
        </c:scaling>
        <c:axPos val="l"/>
        <c:majorGridlines/>
        <c:numFmt formatCode="General" sourceLinked="1"/>
        <c:tickLblPos val="nextTo"/>
        <c:crossAx val="2323072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/>
              <a:t>Average # of Mummichogs in Joppa</a:t>
            </a:r>
            <a:r>
              <a:rPr lang="en-US" sz="1400" baseline="0"/>
              <a:t> Flats</a:t>
            </a:r>
            <a:r>
              <a:rPr lang="en-US" sz="1400"/>
              <a:t>  Pannes (Boomerang &amp; Doughnut </a:t>
            </a:r>
            <a:r>
              <a:rPr lang="en-US" sz="1400" baseline="0"/>
              <a:t>Hole)</a:t>
            </a:r>
            <a:endParaRPr lang="en-US" sz="1400"/>
          </a:p>
        </c:rich>
      </c:tx>
      <c:layout>
        <c:manualLayout>
          <c:xMode val="edge"/>
          <c:yMode val="edge"/>
          <c:x val="2.2166606767515057E-2"/>
          <c:y val="0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'pivot charts'!$L$238</c:f>
              <c:strCache>
                <c:ptCount val="1"/>
                <c:pt idx="0">
                  <c:v>Constructed Panne</c:v>
                </c:pt>
              </c:strCache>
            </c:strRef>
          </c:tx>
          <c:cat>
            <c:numRef>
              <c:f>'pivot charts'!$M$237:$AB$237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'pivot charts'!$M$238:$AB$238</c:f>
              <c:numCache>
                <c:formatCode>General</c:formatCode>
                <c:ptCount val="16"/>
                <c:pt idx="0">
                  <c:v>159.16666666666666</c:v>
                </c:pt>
                <c:pt idx="1">
                  <c:v>201.38461538461539</c:v>
                </c:pt>
                <c:pt idx="2">
                  <c:v>171.88235294117646</c:v>
                </c:pt>
                <c:pt idx="3">
                  <c:v>172.73333333333332</c:v>
                </c:pt>
                <c:pt idx="4">
                  <c:v>148.1904761904762</c:v>
                </c:pt>
                <c:pt idx="5">
                  <c:v>242.85714285714286</c:v>
                </c:pt>
                <c:pt idx="6">
                  <c:v>158.38095238095238</c:v>
                </c:pt>
                <c:pt idx="7">
                  <c:v>116.25</c:v>
                </c:pt>
                <c:pt idx="8">
                  <c:v>85.5</c:v>
                </c:pt>
                <c:pt idx="9">
                  <c:v>16.2</c:v>
                </c:pt>
                <c:pt idx="10">
                  <c:v>88.5</c:v>
                </c:pt>
                <c:pt idx="11">
                  <c:v>97.75</c:v>
                </c:pt>
                <c:pt idx="12">
                  <c:v>56.333333333333336</c:v>
                </c:pt>
                <c:pt idx="13">
                  <c:v>343</c:v>
                </c:pt>
                <c:pt idx="14">
                  <c:v>143</c:v>
                </c:pt>
                <c:pt idx="15">
                  <c:v>0</c:v>
                </c:pt>
              </c:numCache>
            </c:numRef>
          </c:val>
        </c:ser>
        <c:marker val="1"/>
        <c:axId val="23240064"/>
        <c:axId val="23258240"/>
      </c:lineChart>
      <c:catAx>
        <c:axId val="23240064"/>
        <c:scaling>
          <c:orientation val="minMax"/>
        </c:scaling>
        <c:axPos val="b"/>
        <c:numFmt formatCode="General" sourceLinked="1"/>
        <c:tickLblPos val="nextTo"/>
        <c:crossAx val="23258240"/>
        <c:crosses val="autoZero"/>
        <c:auto val="1"/>
        <c:lblAlgn val="ctr"/>
        <c:lblOffset val="100"/>
      </c:catAx>
      <c:valAx>
        <c:axId val="23258240"/>
        <c:scaling>
          <c:orientation val="minMax"/>
        </c:scaling>
        <c:axPos val="l"/>
        <c:majorGridlines/>
        <c:numFmt formatCode="General" sourceLinked="1"/>
        <c:tickLblPos val="nextTo"/>
        <c:crossAx val="2324006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7</xdr:col>
      <xdr:colOff>409575</xdr:colOff>
      <xdr:row>32</xdr:row>
      <xdr:rowOff>76200</xdr:rowOff>
    </xdr:to>
    <xdr:graphicFrame macro="">
      <xdr:nvGraphicFramePr>
        <xdr:cNvPr id="424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34</xdr:row>
      <xdr:rowOff>57150</xdr:rowOff>
    </xdr:from>
    <xdr:to>
      <xdr:col>7</xdr:col>
      <xdr:colOff>542925</xdr:colOff>
      <xdr:row>49</xdr:row>
      <xdr:rowOff>142875</xdr:rowOff>
    </xdr:to>
    <xdr:graphicFrame macro="">
      <xdr:nvGraphicFramePr>
        <xdr:cNvPr id="4241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54</xdr:row>
      <xdr:rowOff>152400</xdr:rowOff>
    </xdr:from>
    <xdr:to>
      <xdr:col>7</xdr:col>
      <xdr:colOff>561975</xdr:colOff>
      <xdr:row>73</xdr:row>
      <xdr:rowOff>133350</xdr:rowOff>
    </xdr:to>
    <xdr:graphicFrame macro="">
      <xdr:nvGraphicFramePr>
        <xdr:cNvPr id="4241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85725</xdr:colOff>
      <xdr:row>106</xdr:row>
      <xdr:rowOff>133350</xdr:rowOff>
    </xdr:from>
    <xdr:to>
      <xdr:col>7</xdr:col>
      <xdr:colOff>542925</xdr:colOff>
      <xdr:row>124</xdr:row>
      <xdr:rowOff>19050</xdr:rowOff>
    </xdr:to>
    <xdr:graphicFrame macro="">
      <xdr:nvGraphicFramePr>
        <xdr:cNvPr id="4242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80</xdr:row>
      <xdr:rowOff>9525</xdr:rowOff>
    </xdr:from>
    <xdr:to>
      <xdr:col>7</xdr:col>
      <xdr:colOff>381000</xdr:colOff>
      <xdr:row>95</xdr:row>
      <xdr:rowOff>85725</xdr:rowOff>
    </xdr:to>
    <xdr:graphicFrame macro="">
      <xdr:nvGraphicFramePr>
        <xdr:cNvPr id="424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314325</xdr:colOff>
      <xdr:row>0</xdr:row>
      <xdr:rowOff>104775</xdr:rowOff>
    </xdr:from>
    <xdr:to>
      <xdr:col>6</xdr:col>
      <xdr:colOff>495300</xdr:colOff>
      <xdr:row>14</xdr:row>
      <xdr:rowOff>38100</xdr:rowOff>
    </xdr:to>
    <xdr:graphicFrame macro="">
      <xdr:nvGraphicFramePr>
        <xdr:cNvPr id="4242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0</xdr:colOff>
      <xdr:row>176</xdr:row>
      <xdr:rowOff>95250</xdr:rowOff>
    </xdr:from>
    <xdr:to>
      <xdr:col>39</xdr:col>
      <xdr:colOff>323850</xdr:colOff>
      <xdr:row>193</xdr:row>
      <xdr:rowOff>9525</xdr:rowOff>
    </xdr:to>
    <xdr:graphicFrame macro="">
      <xdr:nvGraphicFramePr>
        <xdr:cNvPr id="4242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32</xdr:col>
      <xdr:colOff>0</xdr:colOff>
      <xdr:row>176</xdr:row>
      <xdr:rowOff>95250</xdr:rowOff>
    </xdr:from>
    <xdr:to>
      <xdr:col>39</xdr:col>
      <xdr:colOff>323850</xdr:colOff>
      <xdr:row>193</xdr:row>
      <xdr:rowOff>9525</xdr:rowOff>
    </xdr:to>
    <xdr:graphicFrame macro="">
      <xdr:nvGraphicFramePr>
        <xdr:cNvPr id="4242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114300</xdr:colOff>
      <xdr:row>127</xdr:row>
      <xdr:rowOff>0</xdr:rowOff>
    </xdr:from>
    <xdr:to>
      <xdr:col>7</xdr:col>
      <xdr:colOff>438150</xdr:colOff>
      <xdr:row>143</xdr:row>
      <xdr:rowOff>85725</xdr:rowOff>
    </xdr:to>
    <xdr:graphicFrame macro="">
      <xdr:nvGraphicFramePr>
        <xdr:cNvPr id="4242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0.18475</cdr:x>
      <cdr:y>0.87665</cdr:y>
    </cdr:from>
    <cdr:to>
      <cdr:x>0.38084</cdr:x>
      <cdr:y>0.89851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42908" y="2246174"/>
          <a:ext cx="894656" cy="560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/>
            <a:t>1999-2006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0.50837</cdr:x>
      <cdr:y>0.28572</cdr:y>
    </cdr:from>
    <cdr:to>
      <cdr:x>0.51255</cdr:x>
      <cdr:y>0.88371</cdr:y>
    </cdr:to>
    <cdr:sp macro="" textlink="">
      <cdr:nvSpPr>
        <cdr:cNvPr id="2" name="Straight Connector 1"/>
        <cdr:cNvSpPr/>
      </cdr:nvSpPr>
      <cdr:spPr bwMode="auto">
        <a:xfrm xmlns:a="http://schemas.openxmlformats.org/drawingml/2006/main" rot="5400000">
          <a:off x="1486803" y="1627876"/>
          <a:ext cx="1674598" cy="1905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0.39331</cdr:x>
      <cdr:y>0.28912</cdr:y>
    </cdr:from>
    <cdr:to>
      <cdr:x>0.68429</cdr:x>
      <cdr:y>0.44542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790700" y="809625"/>
          <a:ext cx="1324840" cy="437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/>
            <a:t>old              new </a:t>
          </a:r>
        </a:p>
        <a:p xmlns:a="http://schemas.openxmlformats.org/drawingml/2006/main">
          <a:r>
            <a:rPr lang="en-US" sz="1100"/>
            <a:t>culvert       culvert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0.32334</cdr:x>
      <cdr:y>0.24135</cdr:y>
    </cdr:from>
    <cdr:to>
      <cdr:x>0.33376</cdr:x>
      <cdr:y>0.87429</cdr:y>
    </cdr:to>
    <cdr:sp macro="" textlink="">
      <cdr:nvSpPr>
        <cdr:cNvPr id="3" name="Straight Connector 2"/>
        <cdr:cNvSpPr/>
      </cdr:nvSpPr>
      <cdr:spPr bwMode="auto">
        <a:xfrm xmlns:a="http://schemas.openxmlformats.org/drawingml/2006/main" flipH="1" flipV="1">
          <a:off x="1484491" y="645981"/>
          <a:ext cx="47839" cy="169408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0.10233</cdr:x>
      <cdr:y>0.25063</cdr:y>
    </cdr:from>
    <cdr:to>
      <cdr:x>0.57702</cdr:x>
      <cdr:y>0.37273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69802" y="670824"/>
          <a:ext cx="2179325" cy="3268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Wrack removed  Wrack left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61</xdr:row>
      <xdr:rowOff>114300</xdr:rowOff>
    </xdr:from>
    <xdr:to>
      <xdr:col>8</xdr:col>
      <xdr:colOff>209550</xdr:colOff>
      <xdr:row>83</xdr:row>
      <xdr:rowOff>38100</xdr:rowOff>
    </xdr:to>
    <xdr:graphicFrame macro="">
      <xdr:nvGraphicFramePr>
        <xdr:cNvPr id="4438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30</xdr:row>
      <xdr:rowOff>47625</xdr:rowOff>
    </xdr:from>
    <xdr:to>
      <xdr:col>7</xdr:col>
      <xdr:colOff>533400</xdr:colOff>
      <xdr:row>47</xdr:row>
      <xdr:rowOff>28575</xdr:rowOff>
    </xdr:to>
    <xdr:graphicFrame macro="">
      <xdr:nvGraphicFramePr>
        <xdr:cNvPr id="4438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47625</xdr:rowOff>
    </xdr:from>
    <xdr:to>
      <xdr:col>8</xdr:col>
      <xdr:colOff>304800</xdr:colOff>
      <xdr:row>20</xdr:row>
      <xdr:rowOff>114300</xdr:rowOff>
    </xdr:to>
    <xdr:graphicFrame macro="">
      <xdr:nvGraphicFramePr>
        <xdr:cNvPr id="44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tadmin" refreshedDate="41586.386379861113" createdVersion="3" refreshedVersion="3" minRefreshableVersion="3" recordCount="391">
  <cacheSource type="worksheet">
    <worksheetSource ref="A7:AN398" sheet="  data  no zero"/>
  </cacheSource>
  <cacheFields count="40">
    <cacheField name="Date" numFmtId="14">
      <sharedItems containsDate="1" containsMixedTypes="1" minDate="1998-06-02T00:00:00" maxDate="2013-10-25T00:00:00"/>
    </cacheField>
    <cacheField name="Station" numFmtId="0">
      <sharedItems/>
    </cacheField>
    <cacheField name="Amnt Time" numFmtId="0">
      <sharedItems containsString="0" containsBlank="1" containsNumber="1" minValue="0" maxValue="26"/>
    </cacheField>
    <cacheField name="Area" numFmtId="0">
      <sharedItems count="4">
        <s v="River downstream"/>
        <s v="River upstream"/>
        <s v="Constructed Panne"/>
        <s v="Panne"/>
      </sharedItems>
    </cacheField>
    <cacheField name="Treatment" numFmtId="0">
      <sharedItems/>
    </cacheField>
    <cacheField name="Year" numFmtId="0">
      <sharedItems containsSemiMixedTypes="0" containsString="0" containsNumber="1" containsInteger="1" minValue="1998" maxValue="2013" count="16"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</sharedItems>
    </cacheField>
    <cacheField name="Season" numFmtId="0">
      <sharedItems count="3">
        <s v="Spring"/>
        <s v="Fall"/>
        <s v="Summer"/>
      </sharedItems>
    </cacheField>
    <cacheField name="Mummichog" numFmtId="0">
      <sharedItems containsBlank="1" containsMixedTypes="1" containsNumber="1" containsInteger="1" minValue="0" maxValue="617"/>
    </cacheField>
    <cacheField name=" 4spined stickleback" numFmtId="0">
      <sharedItems containsString="0" containsBlank="1" containsNumber="1" containsInteger="1" minValue="1" maxValue="1"/>
    </cacheField>
    <cacheField name="3 spined stickleback" numFmtId="0">
      <sharedItems containsString="0" containsBlank="1" containsNumber="1" containsInteger="1" minValue="1" maxValue="44"/>
    </cacheField>
    <cacheField name="9 spined stickleback" numFmtId="0">
      <sharedItems containsBlank="1" containsMixedTypes="1" containsNumber="1" containsInteger="1" minValue="1" maxValue="6"/>
    </cacheField>
    <cacheField name="Fish_x000a_ Code" numFmtId="0">
      <sharedItems containsString="0" containsBlank="1" containsNumber="1" containsInteger="1" minValue="0" maxValue="0"/>
    </cacheField>
    <cacheField name="Lengths_x000a_(mm)" numFmtId="0">
      <sharedItems containsString="0" containsBlank="1" containsNumber="1" containsInteger="1" minValue="0" maxValue="0"/>
    </cacheField>
    <cacheField name="Sample_x000a_Number" numFmtId="0">
      <sharedItems containsString="0" containsBlank="1" containsNumber="1" containsInteger="1" minValue="0" maxValue="0"/>
    </cacheField>
    <cacheField name="Sample_x000a_ Vol. (ml)" numFmtId="0">
      <sharedItems containsString="0" containsBlank="1" containsNumber="1" containsInteger="1" minValue="0" maxValue="0"/>
    </cacheField>
    <cacheField name="Sample_x000a_Vol/fish" numFmtId="0">
      <sharedItems containsString="0" containsBlank="1" containsNumber="1" containsInteger="1" minValue="0" maxValue="0"/>
    </cacheField>
    <cacheField name="? Stickleback" numFmtId="0">
      <sharedItems containsString="0" containsBlank="1" containsNumber="1" containsInteger="1" minValue="1" maxValue="3"/>
    </cacheField>
    <cacheField name="Silverside" numFmtId="0">
      <sharedItems containsString="0" containsBlank="1" containsNumber="1" containsInteger="1" minValue="1" maxValue="2"/>
    </cacheField>
    <cacheField name="Eel" numFmtId="0">
      <sharedItems containsString="0" containsBlank="1" containsNumber="1" containsInteger="1" minValue="1" maxValue="3"/>
    </cacheField>
    <cacheField name="grass shrimp" numFmtId="0">
      <sharedItems containsString="0" containsBlank="1" containsNumber="1" containsInteger="1" minValue="1" maxValue="2"/>
    </cacheField>
    <cacheField name="? Shrimp" numFmtId="0">
      <sharedItems containsString="0" containsBlank="1" containsNumber="1" containsInteger="1" minValue="1" maxValue="9"/>
    </cacheField>
    <cacheField name="sand shrimp" numFmtId="0">
      <sharedItems containsString="0" containsBlank="1" containsNumber="1" containsInteger="1" minValue="1" maxValue="2"/>
    </cacheField>
    <cacheField name="mud snail" numFmtId="0">
      <sharedItems containsString="0" containsBlank="1" containsNumber="1" containsInteger="1" minValue="3" maxValue="3"/>
    </cacheField>
    <cacheField name="Snail (sp)" numFmtId="0">
      <sharedItems containsString="0" containsBlank="1" containsNumber="1" containsInteger="1" minValue="1" maxValue="2"/>
    </cacheField>
    <cacheField name="Green Crab" numFmtId="0">
      <sharedItems containsString="0" containsBlank="1" containsNumber="1" containsInteger="1" minValue="1" maxValue="27"/>
    </cacheField>
    <cacheField name="smelt" numFmtId="0">
      <sharedItems containsString="0" containsBlank="1" containsNumber="1" containsInteger="1" minValue="2" maxValue="2"/>
    </cacheField>
    <cacheField name="brown shrimp leech" numFmtId="0">
      <sharedItems containsString="0" containsBlank="1" containsNumber="1" containsInteger="1" minValue="1" maxValue="1"/>
    </cacheField>
    <cacheField name="green shrimp leech" numFmtId="0">
      <sharedItems containsString="0" containsBlank="1" containsNumber="1" containsInteger="1" minValue="2" maxValue="4"/>
    </cacheField>
    <cacheField name="red worm" numFmtId="0">
      <sharedItems containsString="0" containsBlank="1" containsNumber="1" containsInteger="1" minValue="1" maxValue="1"/>
    </cacheField>
    <cacheField name="amphipod" numFmtId="0">
      <sharedItems containsString="0" containsBlank="1" containsNumber="1" containsInteger="1" minValue="1" maxValue="14"/>
    </cacheField>
    <cacheField name="water skimmer" numFmtId="0">
      <sharedItems containsString="0" containsBlank="1" containsNumber="1" containsInteger="1" minValue="1" maxValue="1"/>
    </cacheField>
    <cacheField name="water beetle" numFmtId="0">
      <sharedItems containsString="0" containsBlank="1" containsNumber="1" containsInteger="1" minValue="1" maxValue="2"/>
    </cacheField>
    <cacheField name="green frog" numFmtId="0">
      <sharedItems containsString="0" containsBlank="1" containsNumber="1" containsInteger="1" minValue="1" maxValue="1"/>
    </cacheField>
    <cacheField name="isopod" numFmtId="0">
      <sharedItems containsNonDate="0" containsString="0" containsBlank="1"/>
    </cacheField>
    <cacheField name="mouse/rodent" numFmtId="0">
      <sharedItems containsString="0" containsBlank="1" containsNumber="1" containsInteger="1" minValue="1" maxValue="1" count="2">
        <m/>
        <n v="1"/>
      </sharedItems>
    </cacheField>
    <cacheField name="Total_x000a_Number of  org.  " numFmtId="0">
      <sharedItems containsString="0" containsBlank="1" containsNumber="1" containsInteger="1" minValue="0" maxValue="618"/>
    </cacheField>
    <cacheField name="Total number of species" numFmtId="0">
      <sharedItems containsString="0" containsBlank="1" containsNumber="1" containsInteger="1" minValue="0" maxValue="5"/>
    </cacheField>
    <cacheField name="Vol. Mummichog" numFmtId="0">
      <sharedItems containsString="0" containsBlank="1" containsNumber="1" minValue="0" maxValue="7"/>
    </cacheField>
    <cacheField name="Vol. Eel" numFmtId="0">
      <sharedItems containsString="0" containsBlank="1" containsNumber="1" minValue="0.5" maxValue="25"/>
    </cacheField>
    <cacheField name="Vol. Crab (Green)" numFmtId="0">
      <sharedItems containsString="0" containsBlank="1" containsNumber="1" minValue="1" maxValue="16.670000000000002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altmarsh" refreshedDate="41935.53417175926" createdVersion="3" refreshedVersion="3" minRefreshableVersion="3" recordCount="403">
  <cacheSource type="worksheet">
    <worksheetSource ref="A7:AN410" sheet="  data  "/>
  </cacheSource>
  <cacheFields count="40">
    <cacheField name="Date" numFmtId="14">
      <sharedItems containsSemiMixedTypes="0" containsNonDate="0" containsDate="1" containsString="0" minDate="1998-06-02T00:00:00" maxDate="2014-10-18T00:00:00"/>
    </cacheField>
    <cacheField name="Station" numFmtId="0">
      <sharedItems count="9">
        <s v="Trap 1"/>
        <s v="Trap 2"/>
        <s v="Trap 2.5"/>
        <s v="Trap 3"/>
        <s v="Boomerang"/>
        <s v="Doughnut Hole"/>
        <s v="Jelly Bean"/>
        <s v="Divergent"/>
        <s v="Trap 3 "/>
      </sharedItems>
    </cacheField>
    <cacheField name="Amnt Time" numFmtId="0">
      <sharedItems containsString="0" containsBlank="1" containsNumber="1" minValue="0" maxValue="26"/>
    </cacheField>
    <cacheField name="Area" numFmtId="0">
      <sharedItems count="4">
        <s v="River downstream"/>
        <s v="River upstream"/>
        <s v="Constructed Panne"/>
        <s v="Panne"/>
      </sharedItems>
    </cacheField>
    <cacheField name="Treatment" numFmtId="0">
      <sharedItems count="5">
        <s v="Reference"/>
        <s v="Restricted"/>
        <s v="Pannes Cleared"/>
        <s v="Wrack Left "/>
        <s v="Restored 1"/>
      </sharedItems>
    </cacheField>
    <cacheField name="Year" numFmtId="0">
      <sharedItems containsSemiMixedTypes="0" containsString="0" containsNumber="1" containsInteger="1" minValue="1998" maxValue="2014" count="17"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</sharedItems>
    </cacheField>
    <cacheField name="Season" numFmtId="0">
      <sharedItems count="3">
        <s v="Spring"/>
        <s v="Fall"/>
        <s v="Summer"/>
      </sharedItems>
    </cacheField>
    <cacheField name="Mummichog" numFmtId="0">
      <sharedItems containsBlank="1" containsMixedTypes="1" containsNumber="1" containsInteger="1" minValue="0" maxValue="906"/>
    </cacheField>
    <cacheField name=" 4spined stickleback" numFmtId="0">
      <sharedItems containsSemiMixedTypes="0" containsString="0" containsNumber="1" containsInteger="1" minValue="0" maxValue="1"/>
    </cacheField>
    <cacheField name="3 spined stickleback" numFmtId="0">
      <sharedItems containsSemiMixedTypes="0" containsString="0" containsNumber="1" containsInteger="1" minValue="0" maxValue="44"/>
    </cacheField>
    <cacheField name="9 spined stickleback" numFmtId="0">
      <sharedItems containsString="0" containsBlank="1" containsNumber="1" containsInteger="1" minValue="0" maxValue="6"/>
    </cacheField>
    <cacheField name="Fish_x000a_ Code" numFmtId="0">
      <sharedItems containsString="0" containsBlank="1" containsNumber="1" containsInteger="1" minValue="0" maxValue="0"/>
    </cacheField>
    <cacheField name="Lengths_x000a_(mm)" numFmtId="0">
      <sharedItems containsString="0" containsBlank="1" containsNumber="1" containsInteger="1" minValue="0" maxValue="0"/>
    </cacheField>
    <cacheField name="Sample_x000a_Number" numFmtId="0">
      <sharedItems containsString="0" containsBlank="1" containsNumber="1" containsInteger="1" minValue="0" maxValue="0"/>
    </cacheField>
    <cacheField name="Sample_x000a_ Vol. (ml)" numFmtId="0">
      <sharedItems containsString="0" containsBlank="1" containsNumber="1" containsInteger="1" minValue="0" maxValue="0"/>
    </cacheField>
    <cacheField name="Sample_x000a_Vol/fish" numFmtId="0">
      <sharedItems containsString="0" containsBlank="1" containsNumber="1" containsInteger="1" minValue="0" maxValue="0"/>
    </cacheField>
    <cacheField name="? Stickleback" numFmtId="0">
      <sharedItems containsSemiMixedTypes="0" containsString="0" containsNumber="1" containsInteger="1" minValue="0" maxValue="3"/>
    </cacheField>
    <cacheField name="Silverside" numFmtId="0">
      <sharedItems containsString="0" containsBlank="1" containsNumber="1" containsInteger="1" minValue="0" maxValue="9"/>
    </cacheField>
    <cacheField name="Eel" numFmtId="0">
      <sharedItems containsSemiMixedTypes="0" containsString="0" containsNumber="1" containsInteger="1" minValue="0" maxValue="3"/>
    </cacheField>
    <cacheField name="grass shrimp" numFmtId="0">
      <sharedItems containsString="0" containsBlank="1" containsNumber="1" containsInteger="1" minValue="0" maxValue="2"/>
    </cacheField>
    <cacheField name="? Shrimp" numFmtId="0">
      <sharedItems containsSemiMixedTypes="0" containsString="0" containsNumber="1" containsInteger="1" minValue="0" maxValue="9"/>
    </cacheField>
    <cacheField name="sand shrimp" numFmtId="0">
      <sharedItems containsSemiMixedTypes="0" containsString="0" containsNumber="1" containsInteger="1" minValue="0" maxValue="2"/>
    </cacheField>
    <cacheField name="mud snail" numFmtId="0">
      <sharedItems containsSemiMixedTypes="0" containsString="0" containsNumber="1" containsInteger="1" minValue="0" maxValue="3"/>
    </cacheField>
    <cacheField name="Snail (sp)" numFmtId="0">
      <sharedItems containsSemiMixedTypes="0" containsString="0" containsNumber="1" containsInteger="1" minValue="0" maxValue="2"/>
    </cacheField>
    <cacheField name="Green Crab" numFmtId="0">
      <sharedItems containsString="0" containsBlank="1" containsNumber="1" containsInteger="1" minValue="0" maxValue="27"/>
    </cacheField>
    <cacheField name="smelt" numFmtId="0">
      <sharedItems containsSemiMixedTypes="0" containsString="0" containsNumber="1" containsInteger="1" minValue="0" maxValue="2"/>
    </cacheField>
    <cacheField name="brown shrimp leech" numFmtId="0">
      <sharedItems containsSemiMixedTypes="0" containsString="0" containsNumber="1" containsInteger="1" minValue="0" maxValue="1"/>
    </cacheField>
    <cacheField name="green shrimp leech" numFmtId="0">
      <sharedItems containsSemiMixedTypes="0" containsString="0" containsNumber="1" containsInteger="1" minValue="0" maxValue="4"/>
    </cacheField>
    <cacheField name="red worm" numFmtId="0">
      <sharedItems containsSemiMixedTypes="0" containsString="0" containsNumber="1" containsInteger="1" minValue="0" maxValue="1"/>
    </cacheField>
    <cacheField name="amphipod" numFmtId="0">
      <sharedItems containsString="0" containsBlank="1" containsNumber="1" containsInteger="1" minValue="0" maxValue="14"/>
    </cacheField>
    <cacheField name="water skimmer" numFmtId="0">
      <sharedItems containsSemiMixedTypes="0" containsString="0" containsNumber="1" containsInteger="1" minValue="0" maxValue="1"/>
    </cacheField>
    <cacheField name="water beetle" numFmtId="0">
      <sharedItems containsSemiMixedTypes="0" containsString="0" containsNumber="1" containsInteger="1" minValue="0" maxValue="2"/>
    </cacheField>
    <cacheField name="green frog" numFmtId="0">
      <sharedItems containsSemiMixedTypes="0" containsString="0" containsNumber="1" containsInteger="1" minValue="0" maxValue="1"/>
    </cacheField>
    <cacheField name="isopod" numFmtId="0">
      <sharedItems containsSemiMixedTypes="0" containsString="0" containsNumber="1" containsInteger="1" minValue="0" maxValue="0"/>
    </cacheField>
    <cacheField name="rodent" numFmtId="0">
      <sharedItems containsSemiMixedTypes="0" containsString="0" containsNumber="1" containsInteger="1" minValue="0" maxValue="1"/>
    </cacheField>
    <cacheField name="Total_x000a_Number of  org.  " numFmtId="0">
      <sharedItems containsSemiMixedTypes="0" containsString="0" containsNumber="1" containsInteger="1" minValue="0" maxValue="907"/>
    </cacheField>
    <cacheField name="Total number of species" numFmtId="0">
      <sharedItems containsString="0" containsBlank="1" containsNumber="1" containsInteger="1" minValue="0" maxValue="5"/>
    </cacheField>
    <cacheField name="Vol. Mummichog" numFmtId="0">
      <sharedItems containsString="0" containsBlank="1" containsNumber="1" minValue="0" maxValue="7"/>
    </cacheField>
    <cacheField name="Vol. Eel" numFmtId="0">
      <sharedItems containsString="0" containsBlank="1" containsNumber="1" minValue="0.5" maxValue="25"/>
    </cacheField>
    <cacheField name="Vol. Crab (Green)" numFmtId="0">
      <sharedItems containsString="0" containsBlank="1" containsNumber="1" minValue="1" maxValue="16.670000000000002"/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altmarsh" refreshedDate="41935.534662384256" createdVersion="3" refreshedVersion="3" minRefreshableVersion="3" recordCount="404">
  <cacheSource type="worksheet">
    <worksheetSource ref="A7:AN411" sheet="  data  no zero"/>
  </cacheSource>
  <cacheFields count="40">
    <cacheField name="Date" numFmtId="14">
      <sharedItems containsDate="1" containsMixedTypes="1" minDate="1998-06-02T00:00:00" maxDate="2014-10-18T00:00:00"/>
    </cacheField>
    <cacheField name="Station" numFmtId="0">
      <sharedItems/>
    </cacheField>
    <cacheField name="Amnt Time" numFmtId="0">
      <sharedItems containsString="0" containsBlank="1" containsNumber="1" minValue="0" maxValue="26"/>
    </cacheField>
    <cacheField name="Area" numFmtId="0">
      <sharedItems count="4">
        <s v="River downstream"/>
        <s v="River upstream"/>
        <s v="Constructed Panne"/>
        <s v="Panne"/>
      </sharedItems>
    </cacheField>
    <cacheField name="Treatment" numFmtId="0">
      <sharedItems/>
    </cacheField>
    <cacheField name="Year" numFmtId="0">
      <sharedItems containsSemiMixedTypes="0" containsString="0" containsNumber="1" containsInteger="1" minValue="1998" maxValue="2014" count="17"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</sharedItems>
    </cacheField>
    <cacheField name="Season" numFmtId="0">
      <sharedItems count="3">
        <s v="Spring"/>
        <s v="Fall"/>
        <s v="Summer"/>
      </sharedItems>
    </cacheField>
    <cacheField name="Mummichog" numFmtId="0">
      <sharedItems containsBlank="1" containsMixedTypes="1" containsNumber="1" containsInteger="1" minValue="0" maxValue="617"/>
    </cacheField>
    <cacheField name=" 4spined stickleback" numFmtId="0">
      <sharedItems containsString="0" containsBlank="1" containsNumber="1" containsInteger="1" minValue="1" maxValue="1"/>
    </cacheField>
    <cacheField name="3 spined stickleback" numFmtId="0">
      <sharedItems containsString="0" containsBlank="1" containsNumber="1" containsInteger="1" minValue="1" maxValue="44"/>
    </cacheField>
    <cacheField name="9 spined stickleback" numFmtId="0">
      <sharedItems containsBlank="1" containsMixedTypes="1" containsNumber="1" containsInteger="1" minValue="1" maxValue="6"/>
    </cacheField>
    <cacheField name="Fish_x000a_ Code" numFmtId="0">
      <sharedItems containsString="0" containsBlank="1" containsNumber="1" containsInteger="1" minValue="0" maxValue="0"/>
    </cacheField>
    <cacheField name="Lengths_x000a_(mm)" numFmtId="0">
      <sharedItems containsString="0" containsBlank="1" containsNumber="1" containsInteger="1" minValue="0" maxValue="0"/>
    </cacheField>
    <cacheField name="Sample_x000a_Number" numFmtId="0">
      <sharedItems containsString="0" containsBlank="1" containsNumber="1" containsInteger="1" minValue="0" maxValue="0"/>
    </cacheField>
    <cacheField name="Sample_x000a_ Vol. (ml)" numFmtId="0">
      <sharedItems containsString="0" containsBlank="1" containsNumber="1" containsInteger="1" minValue="0" maxValue="0"/>
    </cacheField>
    <cacheField name="Sample_x000a_Vol/fish" numFmtId="0">
      <sharedItems containsString="0" containsBlank="1" containsNumber="1" containsInteger="1" minValue="0" maxValue="0"/>
    </cacheField>
    <cacheField name="? Stickleback" numFmtId="0">
      <sharedItems containsString="0" containsBlank="1" containsNumber="1" containsInteger="1" minValue="1" maxValue="3"/>
    </cacheField>
    <cacheField name="Silverside" numFmtId="0">
      <sharedItems containsString="0" containsBlank="1" containsNumber="1" containsInteger="1" minValue="1" maxValue="9"/>
    </cacheField>
    <cacheField name="Eel" numFmtId="0">
      <sharedItems containsString="0" containsBlank="1" containsNumber="1" containsInteger="1" minValue="1" maxValue="3"/>
    </cacheField>
    <cacheField name="grass shrimp" numFmtId="0">
      <sharedItems containsString="0" containsBlank="1" containsNumber="1" containsInteger="1" minValue="1" maxValue="2"/>
    </cacheField>
    <cacheField name="? Shrimp" numFmtId="0">
      <sharedItems containsString="0" containsBlank="1" containsNumber="1" containsInteger="1" minValue="1" maxValue="9"/>
    </cacheField>
    <cacheField name="sand shrimp" numFmtId="0">
      <sharedItems containsString="0" containsBlank="1" containsNumber="1" containsInteger="1" minValue="1" maxValue="2"/>
    </cacheField>
    <cacheField name="mud snail" numFmtId="0">
      <sharedItems containsString="0" containsBlank="1" containsNumber="1" containsInteger="1" minValue="3" maxValue="3"/>
    </cacheField>
    <cacheField name="Snail (sp)" numFmtId="0">
      <sharedItems containsString="0" containsBlank="1" containsNumber="1" containsInteger="1" minValue="1" maxValue="2"/>
    </cacheField>
    <cacheField name="Green Crab" numFmtId="0">
      <sharedItems containsString="0" containsBlank="1" containsNumber="1" containsInteger="1" minValue="1" maxValue="27"/>
    </cacheField>
    <cacheField name="smelt" numFmtId="0">
      <sharedItems containsString="0" containsBlank="1" containsNumber="1" containsInteger="1" minValue="2" maxValue="2"/>
    </cacheField>
    <cacheField name="brown shrimp leech" numFmtId="0">
      <sharedItems containsString="0" containsBlank="1" containsNumber="1" containsInteger="1" minValue="1" maxValue="1"/>
    </cacheField>
    <cacheField name="green shrimp leech" numFmtId="0">
      <sharedItems containsString="0" containsBlank="1" containsNumber="1" containsInteger="1" minValue="2" maxValue="4"/>
    </cacheField>
    <cacheField name="red worm" numFmtId="0">
      <sharedItems containsString="0" containsBlank="1" containsNumber="1" containsInteger="1" minValue="1" maxValue="1"/>
    </cacheField>
    <cacheField name="amphipod" numFmtId="0">
      <sharedItems containsString="0" containsBlank="1" containsNumber="1" containsInteger="1" minValue="1" maxValue="14"/>
    </cacheField>
    <cacheField name="water skimmer" numFmtId="0">
      <sharedItems containsString="0" containsBlank="1" containsNumber="1" containsInteger="1" minValue="1" maxValue="1"/>
    </cacheField>
    <cacheField name="water beetle" numFmtId="0">
      <sharedItems containsString="0" containsBlank="1" containsNumber="1" containsInteger="1" minValue="1" maxValue="2"/>
    </cacheField>
    <cacheField name="green frog" numFmtId="0">
      <sharedItems containsString="0" containsBlank="1" containsNumber="1" containsInteger="1" minValue="1" maxValue="1"/>
    </cacheField>
    <cacheField name="isopod" numFmtId="0">
      <sharedItems containsNonDate="0" containsString="0" containsBlank="1"/>
    </cacheField>
    <cacheField name="mouse/rodent" numFmtId="0">
      <sharedItems containsString="0" containsBlank="1" containsNumber="1" containsInteger="1" minValue="1" maxValue="1"/>
    </cacheField>
    <cacheField name="Total_x000a_Number of  org.  " numFmtId="0">
      <sharedItems containsString="0" containsBlank="1" containsNumber="1" containsInteger="1" minValue="0" maxValue="618"/>
    </cacheField>
    <cacheField name="Total number of species" numFmtId="0">
      <sharedItems containsString="0" containsBlank="1" containsNumber="1" containsInteger="1" minValue="0" maxValue="5"/>
    </cacheField>
    <cacheField name="Vol. Mummichog" numFmtId="0">
      <sharedItems containsString="0" containsBlank="1" containsNumber="1" minValue="0" maxValue="7"/>
    </cacheField>
    <cacheField name="Vol. Eel" numFmtId="0">
      <sharedItems containsString="0" containsBlank="1" containsNumber="1" minValue="0.5" maxValue="25"/>
    </cacheField>
    <cacheField name="Vol. Crab (Green)" numFmtId="0">
      <sharedItems containsString="0" containsBlank="1" containsNumber="1" minValue="1" maxValue="16.670000000000002"/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saltmarsh" refreshedDate="41935.535722106484" createdVersion="3" refreshedVersion="3" minRefreshableVersion="3" recordCount="403">
  <cacheSource type="worksheet">
    <worksheetSource ref="A7:AO410" sheet="  data  "/>
  </cacheSource>
  <cacheFields count="41">
    <cacheField name="Date" numFmtId="14">
      <sharedItems containsSemiMixedTypes="0" containsNonDate="0" containsDate="1" containsString="0" minDate="1998-06-02T00:00:00" maxDate="2014-10-18T00:00:00"/>
    </cacheField>
    <cacheField name="Station" numFmtId="0">
      <sharedItems/>
    </cacheField>
    <cacheField name="Amnt Time" numFmtId="0">
      <sharedItems containsString="0" containsBlank="1" containsNumber="1" minValue="0" maxValue="26"/>
    </cacheField>
    <cacheField name="Area" numFmtId="0">
      <sharedItems count="4">
        <s v="River downstream"/>
        <s v="River upstream"/>
        <s v="Constructed Panne"/>
        <s v="Panne"/>
      </sharedItems>
    </cacheField>
    <cacheField name="Treatment" numFmtId="0">
      <sharedItems/>
    </cacheField>
    <cacheField name="Year" numFmtId="0">
      <sharedItems containsSemiMixedTypes="0" containsString="0" containsNumber="1" containsInteger="1" minValue="1998" maxValue="2014" count="17"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</sharedItems>
    </cacheField>
    <cacheField name="Season" numFmtId="0">
      <sharedItems/>
    </cacheField>
    <cacheField name="Mummichog" numFmtId="0">
      <sharedItems containsBlank="1" containsMixedTypes="1" containsNumber="1" containsInteger="1" minValue="0" maxValue="906"/>
    </cacheField>
    <cacheField name=" 4spined stickleback" numFmtId="0">
      <sharedItems containsSemiMixedTypes="0" containsString="0" containsNumber="1" containsInteger="1" minValue="0" maxValue="1"/>
    </cacheField>
    <cacheField name="3 spined stickleback" numFmtId="0">
      <sharedItems containsSemiMixedTypes="0" containsString="0" containsNumber="1" containsInteger="1" minValue="0" maxValue="44"/>
    </cacheField>
    <cacheField name="9 spined stickleback" numFmtId="0">
      <sharedItems containsString="0" containsBlank="1" containsNumber="1" containsInteger="1" minValue="0" maxValue="6"/>
    </cacheField>
    <cacheField name="Fish_x000a_ Code" numFmtId="0">
      <sharedItems containsString="0" containsBlank="1" containsNumber="1" containsInteger="1" minValue="0" maxValue="0"/>
    </cacheField>
    <cacheField name="Lengths_x000a_(mm)" numFmtId="0">
      <sharedItems containsString="0" containsBlank="1" containsNumber="1" containsInteger="1" minValue="0" maxValue="0"/>
    </cacheField>
    <cacheField name="Sample_x000a_Number" numFmtId="0">
      <sharedItems containsString="0" containsBlank="1" containsNumber="1" containsInteger="1" minValue="0" maxValue="0"/>
    </cacheField>
    <cacheField name="Sample_x000a_ Vol. (ml)" numFmtId="0">
      <sharedItems containsString="0" containsBlank="1" containsNumber="1" containsInteger="1" minValue="0" maxValue="0"/>
    </cacheField>
    <cacheField name="Sample_x000a_Vol/fish" numFmtId="0">
      <sharedItems containsString="0" containsBlank="1" containsNumber="1" containsInteger="1" minValue="0" maxValue="0"/>
    </cacheField>
    <cacheField name="? Stickleback" numFmtId="0">
      <sharedItems containsSemiMixedTypes="0" containsString="0" containsNumber="1" containsInteger="1" minValue="0" maxValue="3"/>
    </cacheField>
    <cacheField name="Silverside" numFmtId="0">
      <sharedItems containsString="0" containsBlank="1" containsNumber="1" containsInteger="1" minValue="0" maxValue="9"/>
    </cacheField>
    <cacheField name="Eel" numFmtId="0">
      <sharedItems containsSemiMixedTypes="0" containsString="0" containsNumber="1" containsInteger="1" minValue="0" maxValue="3"/>
    </cacheField>
    <cacheField name="grass shrimp" numFmtId="0">
      <sharedItems containsString="0" containsBlank="1" containsNumber="1" containsInteger="1" minValue="0" maxValue="2"/>
    </cacheField>
    <cacheField name="? Shrimp" numFmtId="0">
      <sharedItems containsSemiMixedTypes="0" containsString="0" containsNumber="1" containsInteger="1" minValue="0" maxValue="9"/>
    </cacheField>
    <cacheField name="sand shrimp" numFmtId="0">
      <sharedItems containsSemiMixedTypes="0" containsString="0" containsNumber="1" containsInteger="1" minValue="0" maxValue="2"/>
    </cacheField>
    <cacheField name="mud snail" numFmtId="0">
      <sharedItems containsSemiMixedTypes="0" containsString="0" containsNumber="1" containsInteger="1" minValue="0" maxValue="3"/>
    </cacheField>
    <cacheField name="Snail (sp)" numFmtId="0">
      <sharedItems containsSemiMixedTypes="0" containsString="0" containsNumber="1" containsInteger="1" minValue="0" maxValue="2"/>
    </cacheField>
    <cacheField name="Green Crab" numFmtId="0">
      <sharedItems containsString="0" containsBlank="1" containsNumber="1" containsInteger="1" minValue="0" maxValue="27"/>
    </cacheField>
    <cacheField name="smelt" numFmtId="0">
      <sharedItems containsSemiMixedTypes="0" containsString="0" containsNumber="1" containsInteger="1" minValue="0" maxValue="2"/>
    </cacheField>
    <cacheField name="brown shrimp leech" numFmtId="0">
      <sharedItems containsSemiMixedTypes="0" containsString="0" containsNumber="1" containsInteger="1" minValue="0" maxValue="1"/>
    </cacheField>
    <cacheField name="green shrimp leech" numFmtId="0">
      <sharedItems containsSemiMixedTypes="0" containsString="0" containsNumber="1" containsInteger="1" minValue="0" maxValue="4"/>
    </cacheField>
    <cacheField name="red worm" numFmtId="0">
      <sharedItems containsSemiMixedTypes="0" containsString="0" containsNumber="1" containsInteger="1" minValue="0" maxValue="1"/>
    </cacheField>
    <cacheField name="amphipod" numFmtId="0">
      <sharedItems containsString="0" containsBlank="1" containsNumber="1" containsInteger="1" minValue="0" maxValue="14"/>
    </cacheField>
    <cacheField name="water skimmer" numFmtId="0">
      <sharedItems containsSemiMixedTypes="0" containsString="0" containsNumber="1" containsInteger="1" minValue="0" maxValue="1"/>
    </cacheField>
    <cacheField name="water beetle" numFmtId="0">
      <sharedItems containsSemiMixedTypes="0" containsString="0" containsNumber="1" containsInteger="1" minValue="0" maxValue="2"/>
    </cacheField>
    <cacheField name="green frog" numFmtId="0">
      <sharedItems containsSemiMixedTypes="0" containsString="0" containsNumber="1" containsInteger="1" minValue="0" maxValue="1"/>
    </cacheField>
    <cacheField name="isopod" numFmtId="0">
      <sharedItems containsSemiMixedTypes="0" containsString="0" containsNumber="1" containsInteger="1" minValue="0" maxValue="0"/>
    </cacheField>
    <cacheField name="rodent" numFmtId="0">
      <sharedItems containsSemiMixedTypes="0" containsString="0" containsNumber="1" containsInteger="1" minValue="0" maxValue="1"/>
    </cacheField>
    <cacheField name="Total_x000a_Number of  org.  " numFmtId="0">
      <sharedItems containsSemiMixedTypes="0" containsString="0" containsNumber="1" containsInteger="1" minValue="0" maxValue="907"/>
    </cacheField>
    <cacheField name="Total number of species" numFmtId="0">
      <sharedItems containsString="0" containsBlank="1" containsNumber="1" containsInteger="1" minValue="0" maxValue="5"/>
    </cacheField>
    <cacheField name="Vol. Mummichog" numFmtId="0">
      <sharedItems containsString="0" containsBlank="1" containsNumber="1" minValue="0" maxValue="7"/>
    </cacheField>
    <cacheField name="Vol. Eel" numFmtId="0">
      <sharedItems containsString="0" containsBlank="1" containsNumber="1" minValue="0.5" maxValue="25"/>
    </cacheField>
    <cacheField name="Vol. Crab (Green)" numFmtId="0">
      <sharedItems containsString="0" containsBlank="1" containsNumber="1" minValue="1" maxValue="16.670000000000002"/>
    </cacheField>
    <cacheField name="Comments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1">
  <r>
    <d v="1998-06-02T00:00:00"/>
    <s v="Trap 1"/>
    <m/>
    <x v="0"/>
    <s v="Reference"/>
    <x v="0"/>
    <x v="0"/>
    <n v="16"/>
    <m/>
    <m/>
    <m/>
    <m/>
    <m/>
    <m/>
    <m/>
    <m/>
    <m/>
    <m/>
    <m/>
    <m/>
    <m/>
    <m/>
    <m/>
    <m/>
    <m/>
    <m/>
    <m/>
    <m/>
    <m/>
    <m/>
    <m/>
    <m/>
    <m/>
    <m/>
    <x v="0"/>
    <n v="16"/>
    <n v="1"/>
    <n v="3.4"/>
    <m/>
    <m/>
  </r>
  <r>
    <d v="1998-06-02T00:00:00"/>
    <s v="Trap 2"/>
    <m/>
    <x v="0"/>
    <s v="Reference"/>
    <x v="0"/>
    <x v="0"/>
    <n v="27"/>
    <m/>
    <m/>
    <m/>
    <m/>
    <m/>
    <m/>
    <m/>
    <m/>
    <n v="3"/>
    <m/>
    <m/>
    <m/>
    <m/>
    <m/>
    <m/>
    <m/>
    <m/>
    <m/>
    <m/>
    <m/>
    <m/>
    <m/>
    <m/>
    <m/>
    <m/>
    <m/>
    <x v="0"/>
    <n v="30"/>
    <n v="2"/>
    <n v="2.27"/>
    <m/>
    <m/>
  </r>
  <r>
    <d v="1998-06-02T00:00:00"/>
    <s v="Trap 2.5"/>
    <m/>
    <x v="0"/>
    <s v="Reference"/>
    <x v="0"/>
    <x v="0"/>
    <n v="3"/>
    <m/>
    <m/>
    <m/>
    <m/>
    <m/>
    <m/>
    <m/>
    <m/>
    <m/>
    <m/>
    <m/>
    <m/>
    <m/>
    <m/>
    <m/>
    <m/>
    <m/>
    <m/>
    <m/>
    <m/>
    <m/>
    <m/>
    <m/>
    <m/>
    <m/>
    <m/>
    <x v="0"/>
    <n v="3"/>
    <n v="1"/>
    <n v="3.3"/>
    <m/>
    <m/>
  </r>
  <r>
    <d v="1998-06-02T00:00:00"/>
    <s v="Trap 3"/>
    <m/>
    <x v="1"/>
    <s v="Restricted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x v="0"/>
    <n v="0"/>
    <n v="0"/>
    <m/>
    <m/>
    <m/>
  </r>
  <r>
    <d v="1998-06-03T00:00:00"/>
    <s v="Trap 2"/>
    <m/>
    <x v="0"/>
    <s v="Reference"/>
    <x v="0"/>
    <x v="0"/>
    <n v="8"/>
    <m/>
    <m/>
    <m/>
    <m/>
    <m/>
    <m/>
    <m/>
    <m/>
    <m/>
    <m/>
    <m/>
    <m/>
    <m/>
    <m/>
    <m/>
    <m/>
    <m/>
    <m/>
    <m/>
    <m/>
    <m/>
    <m/>
    <m/>
    <m/>
    <m/>
    <m/>
    <x v="0"/>
    <n v="8"/>
    <n v="1"/>
    <n v="2.4"/>
    <m/>
    <m/>
  </r>
  <r>
    <d v="1998-06-03T00:00:00"/>
    <s v="Trap 2.5"/>
    <m/>
    <x v="0"/>
    <s v="Reference"/>
    <x v="0"/>
    <x v="0"/>
    <n v="26"/>
    <m/>
    <m/>
    <m/>
    <m/>
    <m/>
    <m/>
    <m/>
    <m/>
    <m/>
    <m/>
    <m/>
    <m/>
    <m/>
    <m/>
    <m/>
    <m/>
    <m/>
    <m/>
    <m/>
    <m/>
    <m/>
    <m/>
    <m/>
    <m/>
    <m/>
    <m/>
    <x v="0"/>
    <n v="26"/>
    <n v="1"/>
    <n v="3.6"/>
    <m/>
    <m/>
  </r>
  <r>
    <d v="1998-06-03T00:00:00"/>
    <s v="Trap 3"/>
    <m/>
    <x v="1"/>
    <s v="Restricted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x v="0"/>
    <n v="0"/>
    <n v="1"/>
    <m/>
    <m/>
    <m/>
  </r>
  <r>
    <d v="1998-06-04T00:00:00"/>
    <s v="Trap 1"/>
    <m/>
    <x v="0"/>
    <s v="Reference"/>
    <x v="0"/>
    <x v="0"/>
    <n v="62"/>
    <m/>
    <m/>
    <m/>
    <m/>
    <m/>
    <m/>
    <m/>
    <m/>
    <m/>
    <m/>
    <m/>
    <m/>
    <m/>
    <m/>
    <m/>
    <m/>
    <m/>
    <m/>
    <m/>
    <m/>
    <m/>
    <m/>
    <m/>
    <m/>
    <m/>
    <m/>
    <x v="0"/>
    <n v="62"/>
    <n v="1"/>
    <n v="2.1"/>
    <m/>
    <m/>
  </r>
  <r>
    <d v="1998-06-04T00:00:00"/>
    <s v="Trap 2"/>
    <m/>
    <x v="0"/>
    <s v="Reference"/>
    <x v="0"/>
    <x v="0"/>
    <n v="2"/>
    <m/>
    <m/>
    <m/>
    <m/>
    <m/>
    <m/>
    <m/>
    <m/>
    <m/>
    <m/>
    <m/>
    <m/>
    <m/>
    <m/>
    <m/>
    <m/>
    <m/>
    <m/>
    <m/>
    <m/>
    <m/>
    <m/>
    <m/>
    <m/>
    <m/>
    <m/>
    <x v="0"/>
    <n v="2"/>
    <n v="1"/>
    <m/>
    <m/>
    <m/>
  </r>
  <r>
    <d v="1998-06-04T00:00:00"/>
    <s v="Trap 2.5"/>
    <m/>
    <x v="0"/>
    <s v="Reference"/>
    <x v="0"/>
    <x v="0"/>
    <n v="36"/>
    <m/>
    <m/>
    <m/>
    <m/>
    <m/>
    <m/>
    <m/>
    <m/>
    <m/>
    <m/>
    <m/>
    <m/>
    <m/>
    <m/>
    <m/>
    <m/>
    <m/>
    <m/>
    <m/>
    <m/>
    <m/>
    <m/>
    <m/>
    <m/>
    <m/>
    <m/>
    <x v="0"/>
    <n v="36"/>
    <n v="1"/>
    <n v="1.7"/>
    <m/>
    <m/>
  </r>
  <r>
    <d v="1998-06-04T00:00:00"/>
    <s v="Trap 3"/>
    <m/>
    <x v="1"/>
    <s v="Restricted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x v="0"/>
    <n v="0"/>
    <n v="0"/>
    <m/>
    <m/>
    <m/>
  </r>
  <r>
    <d v="1998-06-09T00:00:00"/>
    <s v="Trap 1"/>
    <m/>
    <x v="0"/>
    <s v="Reference"/>
    <x v="0"/>
    <x v="0"/>
    <n v="15"/>
    <m/>
    <m/>
    <m/>
    <m/>
    <m/>
    <m/>
    <m/>
    <m/>
    <n v="1"/>
    <m/>
    <m/>
    <m/>
    <m/>
    <m/>
    <m/>
    <m/>
    <m/>
    <m/>
    <m/>
    <m/>
    <m/>
    <m/>
    <m/>
    <m/>
    <m/>
    <m/>
    <x v="0"/>
    <n v="16"/>
    <n v="3"/>
    <n v="1.6"/>
    <m/>
    <m/>
  </r>
  <r>
    <d v="1998-06-09T00:00:00"/>
    <s v="Trap 2"/>
    <m/>
    <x v="0"/>
    <s v="Reference"/>
    <x v="0"/>
    <x v="0"/>
    <n v="1"/>
    <m/>
    <m/>
    <m/>
    <m/>
    <m/>
    <m/>
    <m/>
    <m/>
    <m/>
    <m/>
    <n v="1"/>
    <m/>
    <m/>
    <m/>
    <m/>
    <m/>
    <m/>
    <m/>
    <m/>
    <m/>
    <m/>
    <m/>
    <m/>
    <m/>
    <m/>
    <m/>
    <x v="0"/>
    <n v="2"/>
    <n v="2"/>
    <n v="5"/>
    <m/>
    <m/>
  </r>
  <r>
    <d v="1998-06-09T00:00:00"/>
    <s v="Trap 2.5"/>
    <m/>
    <x v="0"/>
    <s v="Reference"/>
    <x v="0"/>
    <x v="0"/>
    <n v="1"/>
    <m/>
    <m/>
    <m/>
    <m/>
    <m/>
    <m/>
    <m/>
    <m/>
    <m/>
    <m/>
    <m/>
    <m/>
    <m/>
    <m/>
    <m/>
    <m/>
    <m/>
    <m/>
    <m/>
    <m/>
    <m/>
    <m/>
    <m/>
    <m/>
    <m/>
    <m/>
    <x v="0"/>
    <n v="1"/>
    <n v="1"/>
    <n v="2"/>
    <m/>
    <m/>
  </r>
  <r>
    <d v="1998-06-09T00:00:00"/>
    <s v="Trap 3"/>
    <m/>
    <x v="1"/>
    <s v="Restricted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x v="0"/>
    <n v="0"/>
    <n v="0"/>
    <m/>
    <m/>
    <m/>
  </r>
  <r>
    <d v="1998-06-10T00:00:00"/>
    <s v="Trap 1"/>
    <m/>
    <x v="0"/>
    <s v="Reference"/>
    <x v="0"/>
    <x v="0"/>
    <n v="56"/>
    <m/>
    <m/>
    <m/>
    <m/>
    <m/>
    <m/>
    <m/>
    <m/>
    <m/>
    <n v="1"/>
    <m/>
    <m/>
    <m/>
    <m/>
    <m/>
    <m/>
    <m/>
    <m/>
    <m/>
    <m/>
    <m/>
    <m/>
    <m/>
    <m/>
    <m/>
    <m/>
    <x v="0"/>
    <n v="57"/>
    <n v="2"/>
    <n v="1.6"/>
    <m/>
    <m/>
  </r>
  <r>
    <d v="1998-06-10T00:00:00"/>
    <s v="Trap 2"/>
    <m/>
    <x v="0"/>
    <s v="Reference"/>
    <x v="0"/>
    <x v="0"/>
    <n v="69"/>
    <m/>
    <m/>
    <m/>
    <m/>
    <m/>
    <m/>
    <m/>
    <m/>
    <m/>
    <m/>
    <m/>
    <m/>
    <m/>
    <m/>
    <m/>
    <m/>
    <m/>
    <m/>
    <m/>
    <m/>
    <m/>
    <m/>
    <m/>
    <m/>
    <m/>
    <m/>
    <x v="0"/>
    <n v="69"/>
    <n v="1"/>
    <n v="2.17"/>
    <m/>
    <m/>
  </r>
  <r>
    <d v="1998-06-10T00:00:00"/>
    <s v="Trap 2.5"/>
    <m/>
    <x v="0"/>
    <s v="Reference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x v="1"/>
    <n v="1"/>
    <n v="1"/>
    <n v="1.8"/>
    <m/>
    <m/>
  </r>
  <r>
    <d v="1998-06-10T00:00:00"/>
    <s v="Trap 3"/>
    <m/>
    <x v="1"/>
    <s v="Restricted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x v="0"/>
    <n v="0"/>
    <n v="0"/>
    <m/>
    <m/>
    <m/>
  </r>
  <r>
    <d v="1998-06-12T00:00:00"/>
    <s v="Trap 1"/>
    <m/>
    <x v="0"/>
    <s v="Reference"/>
    <x v="0"/>
    <x v="0"/>
    <n v="58"/>
    <m/>
    <m/>
    <m/>
    <m/>
    <m/>
    <m/>
    <m/>
    <m/>
    <m/>
    <m/>
    <m/>
    <m/>
    <m/>
    <m/>
    <m/>
    <m/>
    <n v="1"/>
    <m/>
    <m/>
    <m/>
    <m/>
    <m/>
    <m/>
    <m/>
    <m/>
    <m/>
    <x v="0"/>
    <n v="59"/>
    <n v="1"/>
    <m/>
    <m/>
    <m/>
  </r>
  <r>
    <d v="1998-06-12T00:00:00"/>
    <s v="Trap 2"/>
    <m/>
    <x v="0"/>
    <s v="Reference"/>
    <x v="0"/>
    <x v="0"/>
    <n v="48"/>
    <m/>
    <m/>
    <m/>
    <m/>
    <m/>
    <m/>
    <m/>
    <m/>
    <m/>
    <m/>
    <m/>
    <m/>
    <m/>
    <m/>
    <m/>
    <m/>
    <m/>
    <m/>
    <m/>
    <m/>
    <m/>
    <m/>
    <m/>
    <m/>
    <m/>
    <m/>
    <x v="0"/>
    <n v="48"/>
    <n v="1"/>
    <m/>
    <m/>
    <m/>
  </r>
  <r>
    <d v="1998-10-02T00:00:00"/>
    <s v="Trap 1"/>
    <n v="26"/>
    <x v="0"/>
    <s v="Reference"/>
    <x v="0"/>
    <x v="1"/>
    <n v="58"/>
    <m/>
    <m/>
    <m/>
    <m/>
    <m/>
    <m/>
    <m/>
    <m/>
    <m/>
    <m/>
    <m/>
    <m/>
    <m/>
    <m/>
    <m/>
    <m/>
    <n v="1"/>
    <m/>
    <m/>
    <m/>
    <m/>
    <m/>
    <m/>
    <m/>
    <m/>
    <m/>
    <x v="0"/>
    <n v="59"/>
    <n v="2"/>
    <n v="1.6"/>
    <m/>
    <m/>
  </r>
  <r>
    <d v="1998-10-02T00:00:00"/>
    <s v="Trap 2"/>
    <n v="25"/>
    <x v="0"/>
    <s v="Reference"/>
    <x v="0"/>
    <x v="1"/>
    <n v="11"/>
    <m/>
    <m/>
    <m/>
    <m/>
    <m/>
    <m/>
    <m/>
    <m/>
    <m/>
    <m/>
    <m/>
    <m/>
    <m/>
    <m/>
    <m/>
    <m/>
    <m/>
    <m/>
    <m/>
    <m/>
    <m/>
    <m/>
    <m/>
    <m/>
    <m/>
    <m/>
    <x v="0"/>
    <n v="11"/>
    <n v="1"/>
    <n v="1.6"/>
    <m/>
    <m/>
  </r>
  <r>
    <d v="1998-10-02T00:00:00"/>
    <s v="Trap 3"/>
    <n v="24.5"/>
    <x v="1"/>
    <s v="Restricted"/>
    <x v="0"/>
    <x v="1"/>
    <n v="7"/>
    <m/>
    <m/>
    <m/>
    <m/>
    <m/>
    <m/>
    <m/>
    <m/>
    <m/>
    <m/>
    <m/>
    <m/>
    <m/>
    <m/>
    <m/>
    <m/>
    <m/>
    <m/>
    <m/>
    <m/>
    <m/>
    <m/>
    <m/>
    <m/>
    <m/>
    <m/>
    <x v="0"/>
    <n v="7"/>
    <n v="1"/>
    <n v="1.4"/>
    <m/>
    <m/>
  </r>
  <r>
    <d v="1998-10-12T00:00:00"/>
    <s v="Trap 1"/>
    <n v="12"/>
    <x v="0"/>
    <s v="Reference"/>
    <x v="0"/>
    <x v="1"/>
    <n v="85"/>
    <m/>
    <m/>
    <m/>
    <m/>
    <m/>
    <m/>
    <m/>
    <m/>
    <m/>
    <m/>
    <m/>
    <m/>
    <m/>
    <m/>
    <m/>
    <m/>
    <m/>
    <m/>
    <m/>
    <m/>
    <m/>
    <m/>
    <m/>
    <m/>
    <m/>
    <m/>
    <x v="0"/>
    <n v="85"/>
    <n v="1"/>
    <n v="1.2"/>
    <m/>
    <m/>
  </r>
  <r>
    <d v="1998-10-12T00:00:00"/>
    <s v="Trap 2"/>
    <n v="13"/>
    <x v="0"/>
    <s v="Reference"/>
    <x v="0"/>
    <x v="1"/>
    <n v="22"/>
    <m/>
    <m/>
    <m/>
    <m/>
    <m/>
    <m/>
    <m/>
    <m/>
    <m/>
    <m/>
    <m/>
    <m/>
    <m/>
    <m/>
    <m/>
    <m/>
    <m/>
    <m/>
    <m/>
    <m/>
    <m/>
    <m/>
    <m/>
    <m/>
    <m/>
    <m/>
    <x v="0"/>
    <n v="22"/>
    <n v="1"/>
    <n v="1.3"/>
    <m/>
    <m/>
  </r>
  <r>
    <d v="1998-10-12T00:00:00"/>
    <s v="Trap 3"/>
    <n v="13"/>
    <x v="1"/>
    <s v="Restricted"/>
    <x v="0"/>
    <x v="1"/>
    <n v="2"/>
    <m/>
    <m/>
    <m/>
    <m/>
    <m/>
    <m/>
    <m/>
    <m/>
    <m/>
    <m/>
    <m/>
    <m/>
    <m/>
    <m/>
    <m/>
    <m/>
    <m/>
    <m/>
    <m/>
    <m/>
    <m/>
    <m/>
    <m/>
    <m/>
    <m/>
    <m/>
    <x v="0"/>
    <n v="2"/>
    <n v="1"/>
    <n v="1.3"/>
    <m/>
    <m/>
  </r>
  <r>
    <d v="1998-10-13T00:00:00"/>
    <s v="Trap 1"/>
    <n v="11"/>
    <x v="0"/>
    <s v="Reference"/>
    <x v="0"/>
    <x v="1"/>
    <n v="18"/>
    <m/>
    <m/>
    <m/>
    <m/>
    <m/>
    <m/>
    <m/>
    <m/>
    <m/>
    <m/>
    <m/>
    <m/>
    <m/>
    <m/>
    <m/>
    <m/>
    <m/>
    <m/>
    <m/>
    <m/>
    <m/>
    <m/>
    <m/>
    <m/>
    <m/>
    <m/>
    <x v="0"/>
    <n v="18"/>
    <n v="1"/>
    <n v="1.1000000000000001"/>
    <m/>
    <m/>
  </r>
  <r>
    <d v="1998-10-13T00:00:00"/>
    <s v="Trap 2"/>
    <n v="10"/>
    <x v="0"/>
    <s v="Reference"/>
    <x v="0"/>
    <x v="1"/>
    <n v="83"/>
    <m/>
    <n v="1"/>
    <m/>
    <m/>
    <m/>
    <m/>
    <m/>
    <m/>
    <m/>
    <n v="1"/>
    <m/>
    <m/>
    <m/>
    <m/>
    <m/>
    <m/>
    <m/>
    <m/>
    <m/>
    <m/>
    <m/>
    <m/>
    <m/>
    <m/>
    <m/>
    <m/>
    <x v="0"/>
    <n v="85"/>
    <n v="3"/>
    <n v="1.2"/>
    <m/>
    <m/>
  </r>
  <r>
    <d v="1998-10-13T00:00:00"/>
    <s v="Trap 3"/>
    <n v="11"/>
    <x v="1"/>
    <s v="Restricted"/>
    <x v="0"/>
    <x v="1"/>
    <n v="2"/>
    <m/>
    <m/>
    <m/>
    <m/>
    <m/>
    <m/>
    <m/>
    <m/>
    <m/>
    <m/>
    <m/>
    <m/>
    <m/>
    <m/>
    <m/>
    <m/>
    <m/>
    <m/>
    <m/>
    <m/>
    <m/>
    <m/>
    <m/>
    <m/>
    <m/>
    <m/>
    <x v="0"/>
    <n v="2"/>
    <n v="1"/>
    <n v="1.1000000000000001"/>
    <m/>
    <m/>
  </r>
  <r>
    <d v="1998-10-14T00:00:00"/>
    <s v="Trap 1"/>
    <n v="11"/>
    <x v="0"/>
    <s v="Reference"/>
    <x v="0"/>
    <x v="1"/>
    <n v="9"/>
    <m/>
    <m/>
    <n v="1"/>
    <m/>
    <m/>
    <m/>
    <m/>
    <m/>
    <m/>
    <n v="2"/>
    <m/>
    <m/>
    <m/>
    <n v="2"/>
    <m/>
    <m/>
    <n v="1"/>
    <m/>
    <m/>
    <m/>
    <m/>
    <m/>
    <m/>
    <m/>
    <m/>
    <m/>
    <x v="0"/>
    <n v="15"/>
    <n v="4"/>
    <n v="1.2"/>
    <m/>
    <m/>
  </r>
  <r>
    <d v="1998-10-14T00:00:00"/>
    <s v="Trap 2"/>
    <n v="11"/>
    <x v="0"/>
    <s v="Reference"/>
    <x v="0"/>
    <x v="1"/>
    <n v="9"/>
    <m/>
    <m/>
    <m/>
    <m/>
    <m/>
    <m/>
    <m/>
    <m/>
    <m/>
    <m/>
    <m/>
    <m/>
    <m/>
    <m/>
    <m/>
    <m/>
    <m/>
    <m/>
    <m/>
    <m/>
    <m/>
    <m/>
    <m/>
    <m/>
    <m/>
    <m/>
    <x v="0"/>
    <n v="9"/>
    <n v="1"/>
    <n v="1.3"/>
    <m/>
    <m/>
  </r>
  <r>
    <d v="1998-10-14T00:00:00"/>
    <s v="Trap 3"/>
    <n v="11"/>
    <x v="1"/>
    <s v="Restricted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x v="0"/>
    <n v="0"/>
    <n v="0"/>
    <m/>
    <m/>
    <m/>
  </r>
  <r>
    <d v="1999-10-19T00:00:00"/>
    <s v="Trap 1"/>
    <n v="20"/>
    <x v="0"/>
    <s v="Reference"/>
    <x v="1"/>
    <x v="1"/>
    <n v="86"/>
    <m/>
    <m/>
    <m/>
    <m/>
    <m/>
    <m/>
    <m/>
    <m/>
    <m/>
    <m/>
    <m/>
    <m/>
    <m/>
    <m/>
    <m/>
    <m/>
    <m/>
    <m/>
    <m/>
    <m/>
    <m/>
    <m/>
    <m/>
    <m/>
    <m/>
    <m/>
    <x v="0"/>
    <n v="86"/>
    <m/>
    <n v="1.91"/>
    <m/>
    <m/>
  </r>
  <r>
    <d v="1999-10-19T00:00:00"/>
    <s v="Trap 2"/>
    <n v="21.5"/>
    <x v="0"/>
    <s v="Reference"/>
    <x v="1"/>
    <x v="1"/>
    <n v="138"/>
    <m/>
    <m/>
    <m/>
    <m/>
    <m/>
    <m/>
    <m/>
    <m/>
    <m/>
    <m/>
    <m/>
    <m/>
    <m/>
    <m/>
    <m/>
    <m/>
    <m/>
    <m/>
    <m/>
    <m/>
    <m/>
    <m/>
    <m/>
    <m/>
    <m/>
    <m/>
    <x v="0"/>
    <n v="138"/>
    <m/>
    <n v="1.95"/>
    <m/>
    <m/>
  </r>
  <r>
    <d v="1999-10-19T00:00:00"/>
    <s v="Trap 3"/>
    <n v="21.5"/>
    <x v="1"/>
    <s v="Restricted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x v="0"/>
    <n v="0"/>
    <m/>
    <m/>
    <m/>
    <m/>
  </r>
  <r>
    <d v="1999-10-21T00:00:00"/>
    <s v="Trap 2"/>
    <n v="0"/>
    <x v="0"/>
    <s v="Reference"/>
    <x v="1"/>
    <x v="1"/>
    <n v="72"/>
    <m/>
    <m/>
    <m/>
    <m/>
    <m/>
    <m/>
    <m/>
    <m/>
    <m/>
    <m/>
    <m/>
    <m/>
    <m/>
    <m/>
    <m/>
    <m/>
    <m/>
    <m/>
    <m/>
    <m/>
    <m/>
    <m/>
    <m/>
    <m/>
    <m/>
    <m/>
    <x v="0"/>
    <n v="72"/>
    <m/>
    <n v="2.15"/>
    <m/>
    <m/>
  </r>
  <r>
    <d v="1999-10-21T00:00:00"/>
    <s v="Trap 3"/>
    <m/>
    <x v="1"/>
    <s v="Restricted"/>
    <x v="1"/>
    <x v="1"/>
    <n v="12"/>
    <m/>
    <m/>
    <m/>
    <m/>
    <m/>
    <m/>
    <m/>
    <m/>
    <m/>
    <m/>
    <m/>
    <m/>
    <m/>
    <m/>
    <m/>
    <m/>
    <m/>
    <m/>
    <m/>
    <m/>
    <m/>
    <m/>
    <m/>
    <m/>
    <m/>
    <m/>
    <x v="0"/>
    <n v="12"/>
    <m/>
    <n v="1.25"/>
    <m/>
    <m/>
  </r>
  <r>
    <d v="1999-10-21T00:00:00"/>
    <s v="Boomerang"/>
    <m/>
    <x v="2"/>
    <s v="Pannes Cleared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x v="0"/>
    <n v="0"/>
    <m/>
    <m/>
    <m/>
    <m/>
  </r>
  <r>
    <d v="1999-10-21T00:00:00"/>
    <s v="Doughnut Hole"/>
    <n v="23.5"/>
    <x v="2"/>
    <s v="Pannes Cleared"/>
    <x v="1"/>
    <x v="1"/>
    <n v="285"/>
    <m/>
    <m/>
    <m/>
    <m/>
    <m/>
    <m/>
    <m/>
    <m/>
    <m/>
    <m/>
    <m/>
    <m/>
    <m/>
    <m/>
    <m/>
    <m/>
    <m/>
    <m/>
    <m/>
    <m/>
    <m/>
    <m/>
    <m/>
    <m/>
    <m/>
    <m/>
    <x v="0"/>
    <n v="285"/>
    <m/>
    <n v="1.8"/>
    <m/>
    <m/>
  </r>
  <r>
    <d v="1999-10-25T00:00:00"/>
    <s v="Trap 2.5"/>
    <n v="20"/>
    <x v="0"/>
    <s v="Reference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x v="0"/>
    <n v="0"/>
    <m/>
    <n v="3.21"/>
    <m/>
    <m/>
  </r>
  <r>
    <d v="1999-10-25T00:00:00"/>
    <s v="Trap 3"/>
    <n v="3.5"/>
    <x v="1"/>
    <s v="Restricted"/>
    <x v="1"/>
    <x v="1"/>
    <n v="13"/>
    <m/>
    <m/>
    <m/>
    <m/>
    <m/>
    <m/>
    <m/>
    <m/>
    <m/>
    <m/>
    <m/>
    <m/>
    <m/>
    <m/>
    <m/>
    <m/>
    <m/>
    <m/>
    <m/>
    <m/>
    <m/>
    <m/>
    <m/>
    <m/>
    <m/>
    <m/>
    <x v="0"/>
    <n v="13"/>
    <m/>
    <n v="2.84"/>
    <m/>
    <m/>
  </r>
  <r>
    <d v="1999-10-25T00:00:00"/>
    <s v="Boomerang"/>
    <n v="2.5"/>
    <x v="2"/>
    <s v="Pannes Cleared"/>
    <x v="1"/>
    <x v="1"/>
    <n v="74"/>
    <m/>
    <m/>
    <m/>
    <m/>
    <m/>
    <m/>
    <m/>
    <m/>
    <m/>
    <m/>
    <m/>
    <m/>
    <m/>
    <m/>
    <m/>
    <m/>
    <m/>
    <m/>
    <m/>
    <m/>
    <m/>
    <m/>
    <m/>
    <m/>
    <m/>
    <m/>
    <x v="0"/>
    <n v="74"/>
    <m/>
    <n v="2.2200000000000002"/>
    <m/>
    <m/>
  </r>
  <r>
    <d v="1999-10-25T00:00:00"/>
    <s v="Doughnut Hole"/>
    <m/>
    <x v="2"/>
    <s v="Pannes Cleared"/>
    <x v="1"/>
    <x v="1"/>
    <n v="21"/>
    <m/>
    <m/>
    <m/>
    <m/>
    <m/>
    <m/>
    <m/>
    <m/>
    <n v="1"/>
    <m/>
    <m/>
    <m/>
    <m/>
    <m/>
    <m/>
    <m/>
    <m/>
    <m/>
    <m/>
    <m/>
    <m/>
    <m/>
    <m/>
    <m/>
    <m/>
    <m/>
    <x v="0"/>
    <n v="22"/>
    <m/>
    <n v="3.81"/>
    <m/>
    <m/>
  </r>
  <r>
    <d v="1999-10-26T00:00:00"/>
    <s v="Trap 1"/>
    <n v="26"/>
    <x v="0"/>
    <s v="Reference"/>
    <x v="1"/>
    <x v="1"/>
    <n v="24"/>
    <m/>
    <m/>
    <m/>
    <m/>
    <m/>
    <m/>
    <m/>
    <m/>
    <m/>
    <m/>
    <m/>
    <m/>
    <m/>
    <m/>
    <m/>
    <m/>
    <n v="1"/>
    <m/>
    <m/>
    <m/>
    <m/>
    <m/>
    <m/>
    <m/>
    <m/>
    <m/>
    <x v="0"/>
    <n v="25"/>
    <m/>
    <n v="2.54"/>
    <m/>
    <m/>
  </r>
  <r>
    <d v="1999-10-26T00:00:00"/>
    <s v="Trap 2"/>
    <n v="26"/>
    <x v="0"/>
    <s v="Reference"/>
    <x v="1"/>
    <x v="1"/>
    <n v="23"/>
    <m/>
    <m/>
    <m/>
    <m/>
    <m/>
    <m/>
    <m/>
    <m/>
    <m/>
    <m/>
    <m/>
    <m/>
    <m/>
    <m/>
    <m/>
    <m/>
    <m/>
    <m/>
    <m/>
    <m/>
    <m/>
    <m/>
    <m/>
    <m/>
    <m/>
    <m/>
    <x v="0"/>
    <n v="23"/>
    <m/>
    <n v="2.6"/>
    <m/>
    <m/>
  </r>
  <r>
    <d v="1999-10-26T00:00:00"/>
    <s v="Trap 2.5"/>
    <n v="18.5"/>
    <x v="0"/>
    <s v="Reference"/>
    <x v="1"/>
    <x v="1"/>
    <n v="38"/>
    <m/>
    <m/>
    <m/>
    <m/>
    <m/>
    <m/>
    <m/>
    <m/>
    <m/>
    <m/>
    <m/>
    <m/>
    <m/>
    <m/>
    <m/>
    <m/>
    <m/>
    <m/>
    <m/>
    <m/>
    <m/>
    <m/>
    <m/>
    <m/>
    <m/>
    <m/>
    <x v="0"/>
    <n v="38"/>
    <m/>
    <n v="3.3"/>
    <m/>
    <m/>
  </r>
  <r>
    <d v="1999-10-26T00:00:00"/>
    <s v="Trap 3"/>
    <n v="19.5"/>
    <x v="1"/>
    <s v="Restricted"/>
    <x v="1"/>
    <x v="1"/>
    <n v="8"/>
    <m/>
    <m/>
    <m/>
    <m/>
    <m/>
    <m/>
    <m/>
    <m/>
    <m/>
    <m/>
    <m/>
    <m/>
    <m/>
    <n v="1"/>
    <m/>
    <m/>
    <m/>
    <m/>
    <m/>
    <m/>
    <m/>
    <m/>
    <m/>
    <m/>
    <m/>
    <m/>
    <x v="0"/>
    <n v="9"/>
    <m/>
    <n v="2.5"/>
    <m/>
    <m/>
  </r>
  <r>
    <d v="1999-10-26T00:00:00"/>
    <s v="Boomerang"/>
    <n v="18.5"/>
    <x v="2"/>
    <s v="Pannes Cleared"/>
    <x v="1"/>
    <x v="1"/>
    <n v="234"/>
    <m/>
    <m/>
    <m/>
    <m/>
    <m/>
    <m/>
    <m/>
    <m/>
    <m/>
    <m/>
    <m/>
    <m/>
    <m/>
    <m/>
    <m/>
    <m/>
    <m/>
    <m/>
    <m/>
    <m/>
    <m/>
    <m/>
    <m/>
    <m/>
    <m/>
    <m/>
    <x v="0"/>
    <n v="234"/>
    <m/>
    <n v="2.48"/>
    <m/>
    <m/>
  </r>
  <r>
    <d v="1999-10-26T00:00:00"/>
    <s v="Doughnut Hole"/>
    <n v="18.5"/>
    <x v="2"/>
    <s v="Pannes Cleared"/>
    <x v="1"/>
    <x v="1"/>
    <n v="341"/>
    <m/>
    <m/>
    <m/>
    <m/>
    <m/>
    <m/>
    <m/>
    <m/>
    <m/>
    <m/>
    <m/>
    <m/>
    <m/>
    <m/>
    <m/>
    <m/>
    <m/>
    <m/>
    <m/>
    <m/>
    <m/>
    <m/>
    <m/>
    <m/>
    <m/>
    <m/>
    <x v="0"/>
    <n v="341"/>
    <m/>
    <n v="2.41"/>
    <m/>
    <m/>
  </r>
  <r>
    <d v="1999-10-27T00:00:00"/>
    <s v="Trap 2.5"/>
    <n v="25.5"/>
    <x v="0"/>
    <s v="Reference"/>
    <x v="1"/>
    <x v="1"/>
    <n v="96"/>
    <m/>
    <m/>
    <m/>
    <m/>
    <m/>
    <m/>
    <m/>
    <m/>
    <m/>
    <m/>
    <m/>
    <m/>
    <m/>
    <m/>
    <m/>
    <m/>
    <n v="3"/>
    <m/>
    <m/>
    <m/>
    <m/>
    <m/>
    <m/>
    <m/>
    <m/>
    <m/>
    <x v="0"/>
    <n v="99"/>
    <m/>
    <n v="2.86"/>
    <m/>
    <m/>
  </r>
  <r>
    <d v="2000-05-22T00:00:00"/>
    <s v="Boomerang"/>
    <m/>
    <x v="2"/>
    <s v="Pannes Cleared"/>
    <x v="2"/>
    <x v="0"/>
    <n v="155"/>
    <m/>
    <n v="3"/>
    <m/>
    <m/>
    <m/>
    <m/>
    <m/>
    <m/>
    <m/>
    <m/>
    <m/>
    <m/>
    <m/>
    <m/>
    <m/>
    <m/>
    <m/>
    <m/>
    <m/>
    <m/>
    <m/>
    <m/>
    <m/>
    <m/>
    <m/>
    <m/>
    <x v="0"/>
    <n v="158"/>
    <n v="2"/>
    <n v="3.3"/>
    <m/>
    <m/>
  </r>
  <r>
    <d v="2000-05-22T00:00:00"/>
    <s v="Trap 1"/>
    <m/>
    <x v="0"/>
    <s v="Reference"/>
    <x v="2"/>
    <x v="0"/>
    <n v="68"/>
    <m/>
    <m/>
    <m/>
    <m/>
    <m/>
    <m/>
    <m/>
    <m/>
    <m/>
    <m/>
    <m/>
    <m/>
    <m/>
    <m/>
    <m/>
    <m/>
    <m/>
    <m/>
    <m/>
    <m/>
    <m/>
    <m/>
    <m/>
    <m/>
    <m/>
    <m/>
    <x v="0"/>
    <n v="68"/>
    <n v="1"/>
    <n v="2.57"/>
    <m/>
    <m/>
  </r>
  <r>
    <d v="2000-05-22T00:00:00"/>
    <s v="Trap 2"/>
    <m/>
    <x v="0"/>
    <s v="Reference"/>
    <x v="2"/>
    <x v="0"/>
    <n v="97"/>
    <m/>
    <m/>
    <m/>
    <m/>
    <m/>
    <m/>
    <m/>
    <m/>
    <m/>
    <m/>
    <m/>
    <m/>
    <m/>
    <m/>
    <m/>
    <m/>
    <m/>
    <m/>
    <m/>
    <m/>
    <m/>
    <m/>
    <m/>
    <m/>
    <m/>
    <m/>
    <x v="0"/>
    <n v="97"/>
    <n v="1"/>
    <n v="2.57"/>
    <m/>
    <m/>
  </r>
  <r>
    <d v="2000-05-22T00:00:00"/>
    <s v="Trap 3"/>
    <m/>
    <x v="1"/>
    <s v="Restricted"/>
    <x v="2"/>
    <x v="0"/>
    <n v="4"/>
    <m/>
    <m/>
    <m/>
    <m/>
    <m/>
    <m/>
    <m/>
    <m/>
    <m/>
    <m/>
    <m/>
    <m/>
    <m/>
    <m/>
    <n v="3"/>
    <m/>
    <m/>
    <m/>
    <m/>
    <m/>
    <m/>
    <m/>
    <m/>
    <m/>
    <m/>
    <m/>
    <x v="0"/>
    <n v="7"/>
    <n v="2"/>
    <n v="5"/>
    <m/>
    <m/>
  </r>
  <r>
    <d v="2000-05-23T00:00:00"/>
    <s v="Boomerang"/>
    <m/>
    <x v="2"/>
    <s v="Pannes Cleared"/>
    <x v="2"/>
    <x v="0"/>
    <n v="184"/>
    <m/>
    <m/>
    <m/>
    <m/>
    <m/>
    <m/>
    <m/>
    <m/>
    <m/>
    <m/>
    <m/>
    <m/>
    <m/>
    <m/>
    <m/>
    <m/>
    <m/>
    <m/>
    <m/>
    <m/>
    <m/>
    <m/>
    <m/>
    <m/>
    <m/>
    <m/>
    <x v="0"/>
    <n v="184"/>
    <n v="1"/>
    <n v="5"/>
    <m/>
    <m/>
  </r>
  <r>
    <d v="2000-05-23T00:00:00"/>
    <s v="Doughnut Hole"/>
    <m/>
    <x v="2"/>
    <s v="Pannes Cleared"/>
    <x v="2"/>
    <x v="0"/>
    <n v="229"/>
    <m/>
    <m/>
    <m/>
    <m/>
    <m/>
    <m/>
    <m/>
    <m/>
    <m/>
    <m/>
    <m/>
    <m/>
    <m/>
    <m/>
    <m/>
    <m/>
    <m/>
    <m/>
    <m/>
    <m/>
    <m/>
    <m/>
    <m/>
    <m/>
    <m/>
    <m/>
    <x v="0"/>
    <n v="229"/>
    <n v="1"/>
    <n v="5"/>
    <m/>
    <m/>
  </r>
  <r>
    <d v="2000-05-23T00:00:00"/>
    <s v="Trap 1"/>
    <m/>
    <x v="0"/>
    <s v="Reference"/>
    <x v="2"/>
    <x v="0"/>
    <n v="87"/>
    <m/>
    <m/>
    <m/>
    <m/>
    <m/>
    <m/>
    <m/>
    <m/>
    <m/>
    <m/>
    <m/>
    <m/>
    <m/>
    <m/>
    <m/>
    <m/>
    <m/>
    <m/>
    <m/>
    <m/>
    <m/>
    <m/>
    <m/>
    <m/>
    <m/>
    <m/>
    <x v="0"/>
    <n v="87"/>
    <n v="1"/>
    <n v="3.32"/>
    <m/>
    <m/>
  </r>
  <r>
    <d v="2000-05-23T00:00:00"/>
    <s v="Trap 2"/>
    <m/>
    <x v="0"/>
    <s v="Reference"/>
    <x v="2"/>
    <x v="0"/>
    <n v="16"/>
    <m/>
    <m/>
    <m/>
    <m/>
    <m/>
    <m/>
    <m/>
    <m/>
    <m/>
    <m/>
    <m/>
    <m/>
    <m/>
    <m/>
    <m/>
    <m/>
    <m/>
    <m/>
    <m/>
    <m/>
    <m/>
    <m/>
    <m/>
    <m/>
    <m/>
    <m/>
    <x v="0"/>
    <n v="16"/>
    <n v="1"/>
    <n v="2.35"/>
    <m/>
    <m/>
  </r>
  <r>
    <d v="2000-05-23T00:00:00"/>
    <s v="Trap 2.5"/>
    <m/>
    <x v="0"/>
    <s v="Reference"/>
    <x v="2"/>
    <x v="0"/>
    <m/>
    <m/>
    <m/>
    <m/>
    <m/>
    <m/>
    <m/>
    <m/>
    <m/>
    <m/>
    <m/>
    <m/>
    <m/>
    <m/>
    <m/>
    <m/>
    <m/>
    <m/>
    <m/>
    <m/>
    <m/>
    <m/>
    <m/>
    <m/>
    <m/>
    <m/>
    <m/>
    <x v="0"/>
    <n v="0"/>
    <n v="0"/>
    <m/>
    <m/>
    <m/>
  </r>
  <r>
    <d v="2000-05-23T00:00:00"/>
    <s v="Trap 3"/>
    <m/>
    <x v="1"/>
    <s v="Restricted"/>
    <x v="2"/>
    <x v="0"/>
    <n v="1"/>
    <m/>
    <m/>
    <m/>
    <m/>
    <m/>
    <m/>
    <m/>
    <m/>
    <m/>
    <m/>
    <m/>
    <m/>
    <m/>
    <m/>
    <m/>
    <m/>
    <m/>
    <m/>
    <m/>
    <m/>
    <m/>
    <m/>
    <m/>
    <m/>
    <m/>
    <m/>
    <x v="1"/>
    <n v="2"/>
    <n v="2"/>
    <n v="2.5"/>
    <m/>
    <m/>
  </r>
  <r>
    <d v="2000-05-25T00:00:00"/>
    <s v="Boomerang"/>
    <m/>
    <x v="2"/>
    <s v="Pannes Cleared"/>
    <x v="2"/>
    <x v="0"/>
    <n v="89"/>
    <m/>
    <n v="1"/>
    <m/>
    <m/>
    <m/>
    <m/>
    <m/>
    <m/>
    <m/>
    <m/>
    <m/>
    <m/>
    <m/>
    <m/>
    <m/>
    <m/>
    <m/>
    <m/>
    <m/>
    <m/>
    <m/>
    <m/>
    <m/>
    <m/>
    <m/>
    <m/>
    <x v="0"/>
    <n v="90"/>
    <n v="2"/>
    <n v="2.2000000000000002"/>
    <m/>
    <m/>
  </r>
  <r>
    <d v="2000-05-25T00:00:00"/>
    <s v="Doughnut Hole"/>
    <m/>
    <x v="2"/>
    <s v="Pannes Cleared"/>
    <x v="2"/>
    <x v="0"/>
    <n v="215"/>
    <m/>
    <m/>
    <m/>
    <m/>
    <m/>
    <m/>
    <m/>
    <m/>
    <m/>
    <m/>
    <m/>
    <m/>
    <m/>
    <n v="1"/>
    <m/>
    <m/>
    <m/>
    <m/>
    <m/>
    <m/>
    <m/>
    <m/>
    <m/>
    <m/>
    <m/>
    <m/>
    <x v="0"/>
    <n v="216"/>
    <n v="2"/>
    <n v="4.3"/>
    <m/>
    <m/>
  </r>
  <r>
    <d v="2000-05-25T00:00:00"/>
    <s v="Trap 1"/>
    <m/>
    <x v="0"/>
    <s v="Reference"/>
    <x v="2"/>
    <x v="0"/>
    <m/>
    <m/>
    <m/>
    <m/>
    <m/>
    <m/>
    <m/>
    <m/>
    <m/>
    <m/>
    <m/>
    <m/>
    <m/>
    <m/>
    <m/>
    <m/>
    <m/>
    <m/>
    <m/>
    <m/>
    <m/>
    <m/>
    <m/>
    <m/>
    <m/>
    <m/>
    <m/>
    <x v="0"/>
    <n v="0"/>
    <n v="0"/>
    <m/>
    <m/>
    <m/>
  </r>
  <r>
    <d v="2000-05-25T00:00:00"/>
    <s v="Trap 2"/>
    <m/>
    <x v="0"/>
    <s v="Reference"/>
    <x v="2"/>
    <x v="0"/>
    <n v="2"/>
    <m/>
    <m/>
    <m/>
    <m/>
    <m/>
    <m/>
    <m/>
    <m/>
    <m/>
    <m/>
    <m/>
    <m/>
    <m/>
    <m/>
    <m/>
    <m/>
    <m/>
    <m/>
    <m/>
    <m/>
    <m/>
    <m/>
    <m/>
    <m/>
    <m/>
    <m/>
    <x v="0"/>
    <n v="2"/>
    <n v="1"/>
    <m/>
    <m/>
    <m/>
  </r>
  <r>
    <d v="2000-05-25T00:00:00"/>
    <s v="Trap 2.5"/>
    <m/>
    <x v="0"/>
    <s v="Reference"/>
    <x v="2"/>
    <x v="0"/>
    <n v="4"/>
    <m/>
    <m/>
    <m/>
    <m/>
    <m/>
    <m/>
    <m/>
    <m/>
    <m/>
    <m/>
    <m/>
    <m/>
    <m/>
    <m/>
    <m/>
    <m/>
    <m/>
    <m/>
    <m/>
    <m/>
    <m/>
    <m/>
    <m/>
    <m/>
    <m/>
    <m/>
    <x v="0"/>
    <n v="4"/>
    <n v="1"/>
    <m/>
    <m/>
    <m/>
  </r>
  <r>
    <d v="2000-05-25T00:00:00"/>
    <s v="Trap 3"/>
    <m/>
    <x v="1"/>
    <s v="Restricted"/>
    <x v="2"/>
    <x v="0"/>
    <m/>
    <m/>
    <m/>
    <m/>
    <m/>
    <m/>
    <m/>
    <m/>
    <m/>
    <m/>
    <m/>
    <m/>
    <m/>
    <m/>
    <m/>
    <m/>
    <m/>
    <m/>
    <m/>
    <m/>
    <m/>
    <m/>
    <m/>
    <m/>
    <m/>
    <m/>
    <m/>
    <x v="0"/>
    <n v="0"/>
    <n v="0"/>
    <m/>
    <m/>
    <m/>
  </r>
  <r>
    <d v="2000-05-26T00:00:00"/>
    <s v="Trap 2.5"/>
    <m/>
    <x v="0"/>
    <s v="Reference"/>
    <x v="2"/>
    <x v="0"/>
    <n v="66"/>
    <m/>
    <m/>
    <m/>
    <m/>
    <m/>
    <m/>
    <m/>
    <m/>
    <m/>
    <m/>
    <m/>
    <m/>
    <m/>
    <m/>
    <m/>
    <m/>
    <m/>
    <m/>
    <m/>
    <m/>
    <m/>
    <m/>
    <m/>
    <m/>
    <m/>
    <m/>
    <x v="0"/>
    <n v="66"/>
    <n v="1"/>
    <n v="2.7"/>
    <m/>
    <m/>
  </r>
  <r>
    <d v="2000-05-26T00:00:00"/>
    <s v="Trap 3"/>
    <m/>
    <x v="1"/>
    <s v="Restricted"/>
    <x v="2"/>
    <x v="0"/>
    <m/>
    <m/>
    <m/>
    <m/>
    <m/>
    <m/>
    <m/>
    <m/>
    <m/>
    <m/>
    <m/>
    <m/>
    <m/>
    <m/>
    <m/>
    <m/>
    <m/>
    <m/>
    <m/>
    <m/>
    <m/>
    <m/>
    <m/>
    <m/>
    <m/>
    <m/>
    <m/>
    <x v="0"/>
    <n v="0"/>
    <n v="0"/>
    <m/>
    <m/>
    <m/>
  </r>
  <r>
    <d v="2000-09-18T00:00:00"/>
    <s v="Boomerang"/>
    <m/>
    <x v="2"/>
    <s v="Pannes Cleared"/>
    <x v="2"/>
    <x v="1"/>
    <n v="15"/>
    <m/>
    <m/>
    <m/>
    <m/>
    <m/>
    <m/>
    <m/>
    <m/>
    <m/>
    <m/>
    <m/>
    <m/>
    <m/>
    <m/>
    <m/>
    <m/>
    <m/>
    <m/>
    <m/>
    <m/>
    <m/>
    <m/>
    <m/>
    <m/>
    <m/>
    <m/>
    <x v="0"/>
    <n v="15"/>
    <n v="1"/>
    <n v="1.19"/>
    <m/>
    <m/>
  </r>
  <r>
    <d v="2000-09-18T00:00:00"/>
    <s v="Doughnut Hole"/>
    <m/>
    <x v="2"/>
    <s v="Pannes Cleared"/>
    <x v="2"/>
    <x v="1"/>
    <n v="264"/>
    <m/>
    <m/>
    <m/>
    <m/>
    <m/>
    <m/>
    <m/>
    <m/>
    <m/>
    <m/>
    <m/>
    <m/>
    <m/>
    <m/>
    <m/>
    <m/>
    <m/>
    <m/>
    <m/>
    <m/>
    <m/>
    <m/>
    <m/>
    <m/>
    <m/>
    <m/>
    <x v="0"/>
    <n v="264"/>
    <n v="1"/>
    <n v="4.45"/>
    <m/>
    <m/>
  </r>
  <r>
    <d v="2000-09-18T00:00:00"/>
    <s v="Trap 1"/>
    <m/>
    <x v="0"/>
    <s v="Reference"/>
    <x v="2"/>
    <x v="1"/>
    <n v="22"/>
    <m/>
    <m/>
    <m/>
    <m/>
    <m/>
    <m/>
    <m/>
    <m/>
    <m/>
    <m/>
    <m/>
    <m/>
    <m/>
    <m/>
    <m/>
    <m/>
    <n v="2"/>
    <m/>
    <m/>
    <m/>
    <m/>
    <m/>
    <m/>
    <m/>
    <m/>
    <m/>
    <x v="0"/>
    <n v="24"/>
    <n v="2"/>
    <n v="1.2"/>
    <m/>
    <m/>
  </r>
  <r>
    <d v="2000-09-18T00:00:00"/>
    <s v="Trap 2"/>
    <m/>
    <x v="0"/>
    <s v="Reference"/>
    <x v="2"/>
    <x v="1"/>
    <n v="3"/>
    <m/>
    <m/>
    <m/>
    <m/>
    <m/>
    <m/>
    <m/>
    <m/>
    <m/>
    <m/>
    <m/>
    <m/>
    <m/>
    <m/>
    <m/>
    <m/>
    <n v="1"/>
    <m/>
    <m/>
    <m/>
    <m/>
    <m/>
    <m/>
    <m/>
    <m/>
    <m/>
    <x v="0"/>
    <n v="4"/>
    <n v="2"/>
    <n v="1.67"/>
    <m/>
    <m/>
  </r>
  <r>
    <d v="2000-09-18T00:00:00"/>
    <s v="Trap 2.5"/>
    <m/>
    <x v="0"/>
    <s v="Reference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x v="0"/>
    <n v="0"/>
    <n v="0"/>
    <m/>
    <m/>
    <m/>
  </r>
  <r>
    <d v="2000-09-18T00:00:00"/>
    <s v="Trap 3"/>
    <m/>
    <x v="1"/>
    <s v="Restricted"/>
    <x v="2"/>
    <x v="1"/>
    <n v="1"/>
    <m/>
    <m/>
    <m/>
    <m/>
    <m/>
    <m/>
    <m/>
    <m/>
    <m/>
    <m/>
    <m/>
    <m/>
    <m/>
    <m/>
    <m/>
    <m/>
    <m/>
    <m/>
    <m/>
    <m/>
    <m/>
    <m/>
    <m/>
    <m/>
    <m/>
    <m/>
    <x v="0"/>
    <n v="1"/>
    <n v="1"/>
    <n v="2.5"/>
    <m/>
    <m/>
  </r>
  <r>
    <d v="2000-09-19T00:00:00"/>
    <s v="Boomerang"/>
    <m/>
    <x v="2"/>
    <s v="Pannes Cleared"/>
    <x v="2"/>
    <x v="1"/>
    <n v="91"/>
    <m/>
    <m/>
    <m/>
    <m/>
    <m/>
    <m/>
    <m/>
    <m/>
    <m/>
    <m/>
    <m/>
    <m/>
    <m/>
    <m/>
    <m/>
    <m/>
    <n v="2"/>
    <m/>
    <m/>
    <m/>
    <m/>
    <m/>
    <m/>
    <m/>
    <m/>
    <m/>
    <x v="0"/>
    <n v="93"/>
    <n v="2"/>
    <n v="1.1000000000000001"/>
    <m/>
    <m/>
  </r>
  <r>
    <d v="2000-09-19T00:00:00"/>
    <s v="Doughnut Hole"/>
    <m/>
    <x v="2"/>
    <s v="Pannes Cleared"/>
    <x v="2"/>
    <x v="1"/>
    <n v="358"/>
    <m/>
    <m/>
    <m/>
    <m/>
    <m/>
    <m/>
    <m/>
    <m/>
    <m/>
    <m/>
    <m/>
    <m/>
    <m/>
    <m/>
    <m/>
    <m/>
    <n v="2"/>
    <m/>
    <m/>
    <m/>
    <m/>
    <m/>
    <m/>
    <m/>
    <m/>
    <m/>
    <x v="0"/>
    <n v="360"/>
    <n v="2"/>
    <n v="2.65"/>
    <m/>
    <m/>
  </r>
  <r>
    <d v="2000-09-19T00:00:00"/>
    <s v="Trap 1"/>
    <m/>
    <x v="0"/>
    <s v="Reference"/>
    <x v="2"/>
    <x v="1"/>
    <n v="98"/>
    <m/>
    <m/>
    <m/>
    <m/>
    <m/>
    <m/>
    <m/>
    <m/>
    <m/>
    <m/>
    <m/>
    <m/>
    <m/>
    <m/>
    <m/>
    <m/>
    <n v="8"/>
    <m/>
    <m/>
    <m/>
    <m/>
    <m/>
    <m/>
    <m/>
    <m/>
    <m/>
    <x v="0"/>
    <n v="106"/>
    <n v="2"/>
    <n v="2.6"/>
    <m/>
    <m/>
  </r>
  <r>
    <d v="2000-09-19T00:00:00"/>
    <s v="Trap 2"/>
    <m/>
    <x v="0"/>
    <s v="Reference"/>
    <x v="2"/>
    <x v="1"/>
    <n v="77"/>
    <m/>
    <m/>
    <m/>
    <m/>
    <m/>
    <m/>
    <m/>
    <m/>
    <m/>
    <m/>
    <m/>
    <m/>
    <m/>
    <m/>
    <m/>
    <m/>
    <n v="11"/>
    <m/>
    <m/>
    <m/>
    <m/>
    <m/>
    <m/>
    <m/>
    <m/>
    <m/>
    <x v="0"/>
    <n v="88"/>
    <n v="2"/>
    <n v="1.97"/>
    <m/>
    <m/>
  </r>
  <r>
    <d v="2000-09-19T00:00:00"/>
    <s v="Trap 2.5"/>
    <m/>
    <x v="0"/>
    <s v="Reference"/>
    <x v="2"/>
    <x v="1"/>
    <n v="67"/>
    <m/>
    <m/>
    <m/>
    <m/>
    <m/>
    <m/>
    <m/>
    <m/>
    <m/>
    <m/>
    <m/>
    <m/>
    <m/>
    <m/>
    <m/>
    <m/>
    <n v="22"/>
    <m/>
    <m/>
    <m/>
    <m/>
    <m/>
    <m/>
    <m/>
    <m/>
    <m/>
    <x v="0"/>
    <n v="89"/>
    <n v="2"/>
    <n v="2.8"/>
    <m/>
    <m/>
  </r>
  <r>
    <d v="2000-09-19T00:00:00"/>
    <s v="Trap 3"/>
    <m/>
    <x v="1"/>
    <s v="Restricted"/>
    <x v="2"/>
    <x v="1"/>
    <n v="2"/>
    <m/>
    <m/>
    <m/>
    <m/>
    <m/>
    <m/>
    <m/>
    <m/>
    <m/>
    <m/>
    <m/>
    <m/>
    <m/>
    <m/>
    <m/>
    <m/>
    <n v="1"/>
    <m/>
    <m/>
    <m/>
    <m/>
    <m/>
    <m/>
    <m/>
    <m/>
    <m/>
    <x v="0"/>
    <n v="3"/>
    <n v="2"/>
    <n v="2.5"/>
    <m/>
    <m/>
  </r>
  <r>
    <d v="2000-09-21T00:00:00"/>
    <s v="Boomerang"/>
    <m/>
    <x v="2"/>
    <s v="Pannes Cleared"/>
    <x v="2"/>
    <x v="1"/>
    <n v="65"/>
    <m/>
    <m/>
    <m/>
    <m/>
    <m/>
    <m/>
    <m/>
    <m/>
    <m/>
    <m/>
    <m/>
    <m/>
    <m/>
    <m/>
    <m/>
    <m/>
    <m/>
    <m/>
    <m/>
    <m/>
    <m/>
    <m/>
    <m/>
    <m/>
    <m/>
    <m/>
    <x v="0"/>
    <n v="65"/>
    <n v="1"/>
    <n v="2.29"/>
    <m/>
    <m/>
  </r>
  <r>
    <d v="2000-09-21T00:00:00"/>
    <s v="Doughnut Hole"/>
    <m/>
    <x v="2"/>
    <s v="Pannes Cleared"/>
    <x v="2"/>
    <x v="1"/>
    <n v="244"/>
    <m/>
    <m/>
    <n v="1"/>
    <m/>
    <m/>
    <m/>
    <m/>
    <m/>
    <m/>
    <m/>
    <m/>
    <m/>
    <m/>
    <m/>
    <m/>
    <m/>
    <m/>
    <m/>
    <m/>
    <m/>
    <m/>
    <m/>
    <m/>
    <m/>
    <m/>
    <m/>
    <x v="0"/>
    <n v="245"/>
    <n v="2"/>
    <n v="3.42"/>
    <m/>
    <m/>
  </r>
  <r>
    <d v="2000-09-21T00:00:00"/>
    <s v="Trap 1"/>
    <m/>
    <x v="0"/>
    <s v="Reference"/>
    <x v="2"/>
    <x v="1"/>
    <m/>
    <m/>
    <m/>
    <m/>
    <m/>
    <m/>
    <m/>
    <m/>
    <m/>
    <m/>
    <m/>
    <m/>
    <m/>
    <m/>
    <m/>
    <m/>
    <m/>
    <n v="1"/>
    <m/>
    <m/>
    <m/>
    <m/>
    <m/>
    <m/>
    <m/>
    <m/>
    <m/>
    <x v="0"/>
    <n v="1"/>
    <n v="1"/>
    <m/>
    <m/>
    <m/>
  </r>
  <r>
    <d v="2000-09-21T00:00:00"/>
    <s v="Trap 2"/>
    <m/>
    <x v="0"/>
    <s v="Reference"/>
    <x v="2"/>
    <x v="1"/>
    <n v="7"/>
    <m/>
    <m/>
    <m/>
    <m/>
    <m/>
    <m/>
    <m/>
    <m/>
    <m/>
    <m/>
    <m/>
    <m/>
    <m/>
    <m/>
    <m/>
    <m/>
    <n v="6"/>
    <n v="2"/>
    <m/>
    <m/>
    <m/>
    <m/>
    <m/>
    <m/>
    <m/>
    <m/>
    <x v="0"/>
    <n v="15"/>
    <n v="3"/>
    <n v="1.7"/>
    <m/>
    <m/>
  </r>
  <r>
    <d v="2000-09-21T00:00:00"/>
    <s v="Trap 2.5"/>
    <m/>
    <x v="0"/>
    <s v="Reference"/>
    <x v="2"/>
    <x v="1"/>
    <n v="125"/>
    <m/>
    <m/>
    <m/>
    <m/>
    <m/>
    <m/>
    <m/>
    <m/>
    <m/>
    <m/>
    <m/>
    <m/>
    <m/>
    <m/>
    <m/>
    <m/>
    <m/>
    <m/>
    <m/>
    <m/>
    <m/>
    <m/>
    <m/>
    <m/>
    <m/>
    <m/>
    <x v="0"/>
    <n v="125"/>
    <n v="1"/>
    <n v="2"/>
    <m/>
    <m/>
  </r>
  <r>
    <d v="2000-09-21T00:00:00"/>
    <s v="Trap 3"/>
    <m/>
    <x v="1"/>
    <s v="Restricted"/>
    <x v="2"/>
    <x v="1"/>
    <n v="2"/>
    <m/>
    <m/>
    <m/>
    <m/>
    <m/>
    <m/>
    <m/>
    <m/>
    <m/>
    <m/>
    <m/>
    <m/>
    <m/>
    <m/>
    <m/>
    <m/>
    <m/>
    <m/>
    <m/>
    <m/>
    <m/>
    <m/>
    <m/>
    <m/>
    <m/>
    <m/>
    <x v="0"/>
    <n v="2"/>
    <n v="1"/>
    <n v="3.5"/>
    <m/>
    <m/>
  </r>
  <r>
    <d v="2000-09-29T00:00:00"/>
    <s v="Trap 1"/>
    <m/>
    <x v="0"/>
    <s v="Reference"/>
    <x v="2"/>
    <x v="1"/>
    <n v="4"/>
    <m/>
    <m/>
    <m/>
    <m/>
    <m/>
    <m/>
    <m/>
    <m/>
    <m/>
    <m/>
    <m/>
    <m/>
    <m/>
    <m/>
    <m/>
    <m/>
    <n v="1"/>
    <m/>
    <m/>
    <m/>
    <m/>
    <m/>
    <m/>
    <m/>
    <m/>
    <m/>
    <x v="0"/>
    <n v="5"/>
    <n v="2"/>
    <n v="1.5"/>
    <m/>
    <m/>
  </r>
  <r>
    <d v="2000-09-29T00:00:00"/>
    <s v="Trap 2"/>
    <m/>
    <x v="0"/>
    <s v="Reference"/>
    <x v="2"/>
    <x v="1"/>
    <n v="2"/>
    <m/>
    <m/>
    <m/>
    <m/>
    <m/>
    <m/>
    <m/>
    <m/>
    <m/>
    <m/>
    <m/>
    <m/>
    <m/>
    <m/>
    <m/>
    <m/>
    <m/>
    <m/>
    <m/>
    <m/>
    <m/>
    <m/>
    <m/>
    <m/>
    <m/>
    <m/>
    <x v="0"/>
    <n v="2"/>
    <n v="1"/>
    <n v="2"/>
    <m/>
    <m/>
  </r>
  <r>
    <d v="2000-09-29T00:00:00"/>
    <s v="Trap 2.5"/>
    <m/>
    <x v="0"/>
    <s v="Reference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x v="0"/>
    <n v="0"/>
    <n v="0"/>
    <m/>
    <m/>
    <m/>
  </r>
  <r>
    <d v="2000-09-29T00:00:00"/>
    <s v="Trap 3"/>
    <m/>
    <x v="1"/>
    <s v="Restricted"/>
    <x v="2"/>
    <x v="1"/>
    <n v="15"/>
    <m/>
    <m/>
    <m/>
    <m/>
    <m/>
    <m/>
    <m/>
    <m/>
    <m/>
    <m/>
    <m/>
    <m/>
    <m/>
    <m/>
    <m/>
    <m/>
    <n v="3"/>
    <m/>
    <m/>
    <m/>
    <m/>
    <m/>
    <m/>
    <m/>
    <m/>
    <m/>
    <x v="0"/>
    <n v="18"/>
    <n v="2"/>
    <n v="2.66"/>
    <m/>
    <m/>
  </r>
  <r>
    <d v="2000-09-29T00:00:00"/>
    <s v="Boomerang"/>
    <m/>
    <x v="2"/>
    <s v="Pannes Cleared"/>
    <x v="2"/>
    <x v="1"/>
    <n v="293"/>
    <m/>
    <m/>
    <m/>
    <m/>
    <m/>
    <m/>
    <m/>
    <m/>
    <m/>
    <m/>
    <m/>
    <m/>
    <m/>
    <m/>
    <m/>
    <m/>
    <m/>
    <m/>
    <m/>
    <m/>
    <m/>
    <m/>
    <m/>
    <m/>
    <m/>
    <m/>
    <x v="0"/>
    <n v="293"/>
    <n v="1"/>
    <n v="2.86"/>
    <m/>
    <m/>
  </r>
  <r>
    <d v="2000-09-29T00:00:00"/>
    <s v="Doughnut Hole"/>
    <m/>
    <x v="2"/>
    <s v="Pannes Cleared"/>
    <x v="2"/>
    <x v="1"/>
    <n v="326"/>
    <m/>
    <m/>
    <m/>
    <m/>
    <m/>
    <m/>
    <m/>
    <m/>
    <m/>
    <m/>
    <m/>
    <m/>
    <m/>
    <m/>
    <m/>
    <m/>
    <n v="1"/>
    <m/>
    <m/>
    <m/>
    <m/>
    <m/>
    <m/>
    <m/>
    <m/>
    <m/>
    <x v="0"/>
    <n v="327"/>
    <n v="2"/>
    <n v="2.98"/>
    <m/>
    <m/>
  </r>
  <r>
    <d v="2001-04-02T00:00:00"/>
    <s v="Trap 2.5"/>
    <m/>
    <x v="0"/>
    <s v="Reference"/>
    <x v="3"/>
    <x v="0"/>
    <m/>
    <m/>
    <m/>
    <m/>
    <m/>
    <m/>
    <m/>
    <m/>
    <m/>
    <m/>
    <m/>
    <m/>
    <m/>
    <m/>
    <m/>
    <m/>
    <m/>
    <m/>
    <m/>
    <m/>
    <m/>
    <m/>
    <m/>
    <m/>
    <m/>
    <m/>
    <m/>
    <x v="0"/>
    <n v="0"/>
    <n v="0"/>
    <m/>
    <m/>
    <m/>
  </r>
  <r>
    <d v="2001-04-02T00:00:00"/>
    <s v="Trap 3"/>
    <m/>
    <x v="1"/>
    <s v="Restricted"/>
    <x v="3"/>
    <x v="0"/>
    <m/>
    <m/>
    <m/>
    <n v="1"/>
    <m/>
    <m/>
    <m/>
    <m/>
    <m/>
    <m/>
    <m/>
    <m/>
    <m/>
    <m/>
    <m/>
    <m/>
    <m/>
    <m/>
    <m/>
    <m/>
    <m/>
    <m/>
    <m/>
    <m/>
    <m/>
    <m/>
    <m/>
    <x v="0"/>
    <n v="1"/>
    <n v="1"/>
    <m/>
    <m/>
    <m/>
  </r>
  <r>
    <d v="2001-04-02T00:00:00"/>
    <s v="Boomerang"/>
    <m/>
    <x v="2"/>
    <s v="Pannes Cleared"/>
    <x v="3"/>
    <x v="0"/>
    <m/>
    <m/>
    <n v="2"/>
    <n v="3"/>
    <m/>
    <m/>
    <m/>
    <m/>
    <m/>
    <m/>
    <m/>
    <m/>
    <m/>
    <m/>
    <m/>
    <m/>
    <m/>
    <m/>
    <m/>
    <m/>
    <m/>
    <m/>
    <m/>
    <m/>
    <m/>
    <m/>
    <m/>
    <x v="0"/>
    <n v="5"/>
    <n v="2"/>
    <m/>
    <m/>
    <m/>
  </r>
  <r>
    <d v="2001-04-02T00:00:00"/>
    <s v="Doughnut Hole"/>
    <m/>
    <x v="2"/>
    <s v="Pannes Cleared"/>
    <x v="3"/>
    <x v="0"/>
    <n v="45"/>
    <m/>
    <n v="6"/>
    <m/>
    <m/>
    <m/>
    <m/>
    <m/>
    <m/>
    <m/>
    <m/>
    <m/>
    <m/>
    <m/>
    <m/>
    <m/>
    <m/>
    <m/>
    <m/>
    <m/>
    <m/>
    <m/>
    <m/>
    <m/>
    <m/>
    <m/>
    <m/>
    <x v="0"/>
    <n v="51"/>
    <n v="2"/>
    <n v="1.8888888888888888"/>
    <m/>
    <m/>
  </r>
  <r>
    <d v="2001-06-11T00:00:00"/>
    <s v="Trap 1"/>
    <m/>
    <x v="0"/>
    <s v="Reference"/>
    <x v="3"/>
    <x v="0"/>
    <n v="182"/>
    <m/>
    <m/>
    <m/>
    <m/>
    <m/>
    <m/>
    <m/>
    <m/>
    <m/>
    <m/>
    <m/>
    <m/>
    <m/>
    <m/>
    <m/>
    <m/>
    <m/>
    <m/>
    <m/>
    <m/>
    <m/>
    <m/>
    <m/>
    <m/>
    <m/>
    <m/>
    <x v="0"/>
    <n v="182"/>
    <n v="1"/>
    <n v="3.5714285714285716"/>
    <m/>
    <m/>
  </r>
  <r>
    <d v="2001-06-11T00:00:00"/>
    <s v="Trap 2"/>
    <m/>
    <x v="0"/>
    <s v="Reference"/>
    <x v="3"/>
    <x v="0"/>
    <n v="95"/>
    <m/>
    <m/>
    <m/>
    <m/>
    <m/>
    <m/>
    <m/>
    <m/>
    <m/>
    <m/>
    <m/>
    <m/>
    <m/>
    <m/>
    <m/>
    <m/>
    <n v="1"/>
    <m/>
    <m/>
    <m/>
    <n v="1"/>
    <n v="1"/>
    <m/>
    <m/>
    <m/>
    <m/>
    <x v="0"/>
    <n v="98"/>
    <n v="4"/>
    <n v="3.4210526315789473"/>
    <m/>
    <n v="2"/>
  </r>
  <r>
    <d v="2001-06-11T00:00:00"/>
    <s v="Trap 2.5"/>
    <m/>
    <x v="0"/>
    <s v="Reference"/>
    <x v="3"/>
    <x v="0"/>
    <m/>
    <m/>
    <m/>
    <m/>
    <m/>
    <m/>
    <m/>
    <m/>
    <m/>
    <m/>
    <m/>
    <m/>
    <m/>
    <m/>
    <m/>
    <m/>
    <m/>
    <m/>
    <m/>
    <m/>
    <m/>
    <m/>
    <m/>
    <m/>
    <m/>
    <m/>
    <m/>
    <x v="0"/>
    <n v="0"/>
    <n v="0"/>
    <m/>
    <m/>
    <m/>
  </r>
  <r>
    <d v="2001-06-11T00:00:00"/>
    <s v="Trap 3"/>
    <m/>
    <x v="1"/>
    <s v="Restricted"/>
    <x v="3"/>
    <x v="0"/>
    <m/>
    <m/>
    <m/>
    <m/>
    <m/>
    <m/>
    <m/>
    <m/>
    <m/>
    <m/>
    <m/>
    <m/>
    <m/>
    <m/>
    <m/>
    <m/>
    <m/>
    <m/>
    <m/>
    <m/>
    <m/>
    <m/>
    <m/>
    <m/>
    <m/>
    <m/>
    <m/>
    <x v="0"/>
    <n v="0"/>
    <n v="0"/>
    <m/>
    <m/>
    <m/>
  </r>
  <r>
    <d v="2001-06-11T00:00:00"/>
    <s v="Boomerang"/>
    <m/>
    <x v="2"/>
    <s v="Pannes Cleared"/>
    <x v="3"/>
    <x v="0"/>
    <n v="82"/>
    <m/>
    <m/>
    <m/>
    <m/>
    <m/>
    <m/>
    <m/>
    <m/>
    <m/>
    <m/>
    <m/>
    <m/>
    <m/>
    <m/>
    <m/>
    <m/>
    <m/>
    <m/>
    <m/>
    <m/>
    <m/>
    <m/>
    <m/>
    <m/>
    <m/>
    <m/>
    <x v="0"/>
    <n v="82"/>
    <n v="1"/>
    <n v="1.9512195121951219"/>
    <m/>
    <m/>
  </r>
  <r>
    <d v="2001-06-11T00:00:00"/>
    <s v="Doughnut Hole"/>
    <m/>
    <x v="2"/>
    <s v="Pannes Cleared"/>
    <x v="3"/>
    <x v="0"/>
    <s v="~1"/>
    <m/>
    <m/>
    <m/>
    <m/>
    <m/>
    <m/>
    <m/>
    <m/>
    <m/>
    <m/>
    <m/>
    <m/>
    <m/>
    <m/>
    <m/>
    <m/>
    <m/>
    <m/>
    <m/>
    <m/>
    <m/>
    <m/>
    <m/>
    <m/>
    <m/>
    <m/>
    <x v="0"/>
    <n v="100"/>
    <n v="1"/>
    <m/>
    <m/>
    <m/>
  </r>
  <r>
    <d v="2001-06-12T00:00:00"/>
    <s v="Trap 1"/>
    <m/>
    <x v="0"/>
    <s v="Reference"/>
    <x v="3"/>
    <x v="0"/>
    <n v="84"/>
    <m/>
    <m/>
    <m/>
    <m/>
    <m/>
    <m/>
    <m/>
    <m/>
    <m/>
    <m/>
    <m/>
    <m/>
    <m/>
    <m/>
    <m/>
    <m/>
    <m/>
    <m/>
    <m/>
    <m/>
    <m/>
    <m/>
    <m/>
    <m/>
    <m/>
    <m/>
    <x v="0"/>
    <n v="84"/>
    <n v="1"/>
    <n v="3.5714285714285716"/>
    <m/>
    <m/>
  </r>
  <r>
    <d v="2001-06-12T00:00:00"/>
    <s v="Trap 2"/>
    <m/>
    <x v="0"/>
    <s v="Reference"/>
    <x v="3"/>
    <x v="0"/>
    <n v="47"/>
    <m/>
    <m/>
    <m/>
    <m/>
    <m/>
    <m/>
    <m/>
    <m/>
    <m/>
    <m/>
    <m/>
    <m/>
    <m/>
    <m/>
    <m/>
    <m/>
    <m/>
    <m/>
    <m/>
    <m/>
    <m/>
    <m/>
    <n v="1"/>
    <m/>
    <m/>
    <m/>
    <x v="0"/>
    <n v="48"/>
    <n v="2"/>
    <n v="4.042553191489362"/>
    <m/>
    <m/>
  </r>
  <r>
    <d v="2001-06-12T00:00:00"/>
    <s v="Trap 2.5"/>
    <m/>
    <x v="0"/>
    <s v="Reference"/>
    <x v="3"/>
    <x v="0"/>
    <m/>
    <m/>
    <m/>
    <m/>
    <m/>
    <m/>
    <m/>
    <m/>
    <m/>
    <m/>
    <m/>
    <m/>
    <m/>
    <m/>
    <m/>
    <m/>
    <m/>
    <m/>
    <m/>
    <m/>
    <m/>
    <m/>
    <m/>
    <m/>
    <m/>
    <m/>
    <m/>
    <x v="0"/>
    <n v="0"/>
    <n v="0"/>
    <m/>
    <m/>
    <m/>
  </r>
  <r>
    <d v="2001-06-12T00:00:00"/>
    <s v="Trap 3"/>
    <m/>
    <x v="1"/>
    <s v="Restricted"/>
    <x v="3"/>
    <x v="0"/>
    <m/>
    <m/>
    <m/>
    <m/>
    <m/>
    <m/>
    <m/>
    <m/>
    <m/>
    <m/>
    <m/>
    <m/>
    <m/>
    <m/>
    <m/>
    <m/>
    <m/>
    <m/>
    <m/>
    <m/>
    <m/>
    <m/>
    <m/>
    <m/>
    <m/>
    <m/>
    <m/>
    <x v="0"/>
    <n v="0"/>
    <n v="0"/>
    <m/>
    <m/>
    <m/>
  </r>
  <r>
    <d v="2001-06-12T00:00:00"/>
    <s v="Boomerang"/>
    <m/>
    <x v="2"/>
    <s v="Pannes Cleared"/>
    <x v="3"/>
    <x v="0"/>
    <n v="137"/>
    <m/>
    <m/>
    <m/>
    <m/>
    <m/>
    <m/>
    <m/>
    <m/>
    <m/>
    <m/>
    <m/>
    <m/>
    <m/>
    <m/>
    <m/>
    <m/>
    <m/>
    <m/>
    <m/>
    <m/>
    <m/>
    <m/>
    <m/>
    <m/>
    <m/>
    <m/>
    <x v="0"/>
    <n v="137"/>
    <n v="1"/>
    <n v="1.9562043795620438"/>
    <m/>
    <m/>
  </r>
  <r>
    <d v="2001-06-12T00:00:00"/>
    <s v="Boomerang"/>
    <m/>
    <x v="2"/>
    <s v="Pannes Cleared"/>
    <x v="3"/>
    <x v="0"/>
    <n v="36"/>
    <m/>
    <n v="1"/>
    <m/>
    <m/>
    <m/>
    <m/>
    <m/>
    <m/>
    <m/>
    <m/>
    <m/>
    <m/>
    <m/>
    <m/>
    <m/>
    <m/>
    <m/>
    <m/>
    <m/>
    <m/>
    <m/>
    <m/>
    <m/>
    <m/>
    <m/>
    <m/>
    <x v="0"/>
    <n v="37"/>
    <n v="2"/>
    <n v="2.3611111111111112"/>
    <m/>
    <m/>
  </r>
  <r>
    <d v="2001-06-13T00:00:00"/>
    <s v="Trap 1"/>
    <m/>
    <x v="0"/>
    <s v="Reference"/>
    <x v="3"/>
    <x v="0"/>
    <n v="179"/>
    <m/>
    <m/>
    <m/>
    <m/>
    <m/>
    <m/>
    <m/>
    <m/>
    <m/>
    <m/>
    <m/>
    <m/>
    <m/>
    <m/>
    <m/>
    <m/>
    <m/>
    <m/>
    <m/>
    <m/>
    <m/>
    <m/>
    <m/>
    <m/>
    <m/>
    <m/>
    <x v="0"/>
    <n v="179"/>
    <n v="1"/>
    <n v="3.6312849162011172"/>
    <m/>
    <m/>
  </r>
  <r>
    <d v="2001-06-13T00:00:00"/>
    <s v="Trap 2"/>
    <m/>
    <x v="0"/>
    <s v="Reference"/>
    <x v="3"/>
    <x v="0"/>
    <n v="82"/>
    <m/>
    <m/>
    <m/>
    <m/>
    <m/>
    <m/>
    <m/>
    <m/>
    <m/>
    <m/>
    <m/>
    <m/>
    <m/>
    <m/>
    <m/>
    <m/>
    <m/>
    <m/>
    <m/>
    <m/>
    <m/>
    <m/>
    <m/>
    <m/>
    <m/>
    <m/>
    <x v="0"/>
    <n v="82"/>
    <n v="1"/>
    <n v="3.8414634146341462"/>
    <m/>
    <m/>
  </r>
  <r>
    <d v="2001-06-13T00:00:00"/>
    <s v="Trap 2.5"/>
    <m/>
    <x v="0"/>
    <s v="Reference"/>
    <x v="3"/>
    <x v="0"/>
    <n v="1"/>
    <m/>
    <m/>
    <m/>
    <m/>
    <m/>
    <m/>
    <m/>
    <m/>
    <m/>
    <m/>
    <m/>
    <m/>
    <m/>
    <m/>
    <m/>
    <m/>
    <m/>
    <m/>
    <m/>
    <m/>
    <m/>
    <m/>
    <m/>
    <m/>
    <m/>
    <m/>
    <x v="0"/>
    <n v="1"/>
    <n v="1"/>
    <n v="3"/>
    <m/>
    <m/>
  </r>
  <r>
    <d v="2001-06-13T00:00:00"/>
    <s v="Trap 3"/>
    <m/>
    <x v="1"/>
    <s v="Restricted"/>
    <x v="3"/>
    <x v="0"/>
    <m/>
    <m/>
    <m/>
    <m/>
    <m/>
    <m/>
    <m/>
    <m/>
    <m/>
    <m/>
    <m/>
    <m/>
    <m/>
    <m/>
    <m/>
    <m/>
    <m/>
    <m/>
    <m/>
    <m/>
    <m/>
    <m/>
    <m/>
    <m/>
    <m/>
    <m/>
    <m/>
    <x v="0"/>
    <n v="0"/>
    <m/>
    <m/>
    <m/>
    <m/>
  </r>
  <r>
    <d v="2001-06-13T00:00:00"/>
    <s v="Boomerang"/>
    <m/>
    <x v="2"/>
    <s v="Pannes Cleared"/>
    <x v="3"/>
    <x v="0"/>
    <n v="92"/>
    <m/>
    <m/>
    <m/>
    <m/>
    <m/>
    <m/>
    <m/>
    <m/>
    <m/>
    <m/>
    <m/>
    <m/>
    <m/>
    <m/>
    <m/>
    <m/>
    <m/>
    <m/>
    <m/>
    <m/>
    <m/>
    <m/>
    <m/>
    <m/>
    <m/>
    <m/>
    <x v="0"/>
    <n v="92"/>
    <n v="1"/>
    <n v="1.7391304347826086"/>
    <m/>
    <m/>
  </r>
  <r>
    <d v="2001-06-13T00:00:00"/>
    <s v="Boomerang"/>
    <m/>
    <x v="2"/>
    <s v="Pannes Cleared"/>
    <x v="3"/>
    <x v="0"/>
    <n v="3"/>
    <m/>
    <m/>
    <m/>
    <m/>
    <m/>
    <m/>
    <m/>
    <m/>
    <m/>
    <m/>
    <m/>
    <m/>
    <m/>
    <m/>
    <m/>
    <m/>
    <m/>
    <m/>
    <m/>
    <m/>
    <m/>
    <m/>
    <m/>
    <m/>
    <m/>
    <m/>
    <x v="0"/>
    <n v="3"/>
    <n v="1"/>
    <n v="2.7666666666666671"/>
    <m/>
    <m/>
  </r>
  <r>
    <d v="2001-06-14T00:00:00"/>
    <s v="Trap 1"/>
    <m/>
    <x v="0"/>
    <s v="Reference"/>
    <x v="3"/>
    <x v="0"/>
    <n v="123"/>
    <m/>
    <m/>
    <m/>
    <m/>
    <m/>
    <m/>
    <m/>
    <m/>
    <m/>
    <m/>
    <m/>
    <m/>
    <m/>
    <m/>
    <m/>
    <m/>
    <m/>
    <m/>
    <m/>
    <m/>
    <m/>
    <n v="4"/>
    <m/>
    <m/>
    <m/>
    <m/>
    <x v="0"/>
    <n v="127"/>
    <n v="2"/>
    <n v="5.8943089430894311"/>
    <m/>
    <m/>
  </r>
  <r>
    <d v="2001-06-14T00:00:00"/>
    <s v="Trap 2"/>
    <m/>
    <x v="0"/>
    <s v="Reference"/>
    <x v="3"/>
    <x v="0"/>
    <n v="59"/>
    <m/>
    <m/>
    <m/>
    <m/>
    <m/>
    <m/>
    <m/>
    <m/>
    <m/>
    <m/>
    <m/>
    <m/>
    <m/>
    <m/>
    <m/>
    <m/>
    <m/>
    <m/>
    <m/>
    <m/>
    <m/>
    <n v="1"/>
    <m/>
    <m/>
    <m/>
    <m/>
    <x v="0"/>
    <n v="60"/>
    <n v="2"/>
    <n v="3.1355932203389831"/>
    <m/>
    <m/>
  </r>
  <r>
    <d v="2001-06-14T00:00:00"/>
    <s v="Trap 2.5"/>
    <m/>
    <x v="0"/>
    <s v="Reference"/>
    <x v="3"/>
    <x v="0"/>
    <n v="1"/>
    <m/>
    <m/>
    <m/>
    <m/>
    <m/>
    <m/>
    <m/>
    <m/>
    <m/>
    <m/>
    <m/>
    <m/>
    <m/>
    <m/>
    <m/>
    <m/>
    <m/>
    <m/>
    <m/>
    <m/>
    <m/>
    <n v="3"/>
    <m/>
    <m/>
    <m/>
    <m/>
    <x v="0"/>
    <n v="4"/>
    <n v="2"/>
    <n v="3"/>
    <m/>
    <m/>
  </r>
  <r>
    <d v="2001-06-14T00:00:00"/>
    <s v="Trap 3"/>
    <m/>
    <x v="1"/>
    <s v="Restricted"/>
    <x v="3"/>
    <x v="0"/>
    <m/>
    <m/>
    <m/>
    <m/>
    <m/>
    <m/>
    <m/>
    <m/>
    <m/>
    <m/>
    <m/>
    <m/>
    <m/>
    <m/>
    <m/>
    <m/>
    <m/>
    <m/>
    <m/>
    <m/>
    <m/>
    <m/>
    <m/>
    <m/>
    <m/>
    <m/>
    <m/>
    <x v="0"/>
    <n v="0"/>
    <n v="0"/>
    <m/>
    <m/>
    <m/>
  </r>
  <r>
    <d v="2001-06-14T00:00:00"/>
    <s v="Boomerang"/>
    <m/>
    <x v="2"/>
    <s v="Pannes Cleared"/>
    <x v="3"/>
    <x v="0"/>
    <n v="32"/>
    <m/>
    <m/>
    <m/>
    <m/>
    <m/>
    <m/>
    <m/>
    <m/>
    <m/>
    <m/>
    <m/>
    <m/>
    <m/>
    <m/>
    <m/>
    <m/>
    <m/>
    <m/>
    <m/>
    <m/>
    <m/>
    <n v="2"/>
    <m/>
    <m/>
    <m/>
    <m/>
    <x v="0"/>
    <n v="34"/>
    <n v="2"/>
    <n v="2.71875"/>
    <m/>
    <m/>
  </r>
  <r>
    <d v="2001-06-14T00:00:00"/>
    <s v="Boomerang"/>
    <m/>
    <x v="2"/>
    <s v="Pannes Cleared"/>
    <x v="3"/>
    <x v="0"/>
    <n v="42"/>
    <m/>
    <m/>
    <m/>
    <m/>
    <m/>
    <m/>
    <m/>
    <m/>
    <m/>
    <m/>
    <m/>
    <m/>
    <m/>
    <m/>
    <m/>
    <m/>
    <m/>
    <m/>
    <m/>
    <m/>
    <m/>
    <n v="2"/>
    <m/>
    <m/>
    <m/>
    <m/>
    <x v="0"/>
    <n v="44"/>
    <n v="2"/>
    <n v="3.0952380952380953"/>
    <m/>
    <m/>
  </r>
  <r>
    <d v="2001-09-27T00:00:00"/>
    <s v="Trap 3"/>
    <n v="22.17"/>
    <x v="1"/>
    <s v="Restricted"/>
    <x v="3"/>
    <x v="1"/>
    <m/>
    <m/>
    <m/>
    <m/>
    <m/>
    <m/>
    <m/>
    <m/>
    <m/>
    <m/>
    <m/>
    <m/>
    <m/>
    <m/>
    <m/>
    <m/>
    <m/>
    <m/>
    <m/>
    <m/>
    <m/>
    <m/>
    <m/>
    <m/>
    <m/>
    <m/>
    <m/>
    <x v="0"/>
    <n v="0"/>
    <n v="0"/>
    <m/>
    <m/>
    <m/>
  </r>
  <r>
    <d v="2001-09-27T00:00:00"/>
    <s v="Trap 1"/>
    <n v="22.17"/>
    <x v="0"/>
    <s v="Reference"/>
    <x v="3"/>
    <x v="1"/>
    <n v="225"/>
    <m/>
    <m/>
    <m/>
    <m/>
    <m/>
    <m/>
    <m/>
    <m/>
    <m/>
    <m/>
    <m/>
    <m/>
    <m/>
    <m/>
    <m/>
    <m/>
    <n v="6"/>
    <m/>
    <m/>
    <m/>
    <m/>
    <m/>
    <m/>
    <m/>
    <m/>
    <m/>
    <x v="0"/>
    <n v="231"/>
    <n v="2"/>
    <n v="2.088888888888889"/>
    <m/>
    <n v="3.3333333333333335"/>
  </r>
  <r>
    <d v="2001-09-27T00:00:00"/>
    <s v="Doughnut Hole"/>
    <n v="18.5"/>
    <x v="2"/>
    <s v="Pannes Cleared"/>
    <x v="3"/>
    <x v="1"/>
    <n v="7"/>
    <m/>
    <m/>
    <m/>
    <m/>
    <m/>
    <m/>
    <m/>
    <m/>
    <m/>
    <m/>
    <m/>
    <m/>
    <m/>
    <m/>
    <m/>
    <m/>
    <n v="1"/>
    <m/>
    <m/>
    <m/>
    <m/>
    <m/>
    <m/>
    <m/>
    <m/>
    <m/>
    <x v="0"/>
    <n v="8"/>
    <n v="2"/>
    <n v="1.4285714285714286"/>
    <m/>
    <n v="6"/>
  </r>
  <r>
    <d v="2001-09-27T00:00:00"/>
    <s v="Boomerang"/>
    <n v="18.5"/>
    <x v="2"/>
    <s v="Pannes Cleared"/>
    <x v="3"/>
    <x v="1"/>
    <m/>
    <m/>
    <m/>
    <m/>
    <m/>
    <m/>
    <m/>
    <m/>
    <m/>
    <m/>
    <m/>
    <m/>
    <m/>
    <m/>
    <m/>
    <m/>
    <m/>
    <n v="2"/>
    <m/>
    <m/>
    <m/>
    <m/>
    <m/>
    <m/>
    <m/>
    <m/>
    <m/>
    <x v="0"/>
    <n v="2"/>
    <n v="1"/>
    <m/>
    <m/>
    <n v="1.4"/>
  </r>
  <r>
    <d v="2001-09-28T00:00:00"/>
    <s v="2.5 AM"/>
    <n v="24"/>
    <x v="0"/>
    <s v="Reference"/>
    <x v="3"/>
    <x v="1"/>
    <n v="1"/>
    <m/>
    <m/>
    <m/>
    <m/>
    <m/>
    <m/>
    <m/>
    <m/>
    <m/>
    <m/>
    <m/>
    <m/>
    <m/>
    <m/>
    <m/>
    <m/>
    <n v="1"/>
    <m/>
    <m/>
    <m/>
    <m/>
    <m/>
    <m/>
    <m/>
    <m/>
    <m/>
    <x v="0"/>
    <n v="2"/>
    <n v="2"/>
    <n v="2"/>
    <m/>
    <n v="2"/>
  </r>
  <r>
    <d v="2001-09-28T00:00:00"/>
    <s v="2.5 PM"/>
    <n v="4.12"/>
    <x v="0"/>
    <s v="Reference"/>
    <x v="3"/>
    <x v="1"/>
    <n v="9"/>
    <m/>
    <m/>
    <m/>
    <m/>
    <m/>
    <m/>
    <m/>
    <m/>
    <m/>
    <m/>
    <m/>
    <m/>
    <m/>
    <m/>
    <m/>
    <m/>
    <m/>
    <m/>
    <m/>
    <m/>
    <m/>
    <m/>
    <m/>
    <m/>
    <m/>
    <m/>
    <x v="0"/>
    <n v="9"/>
    <n v="1"/>
    <n v="1.1111111111111112"/>
    <m/>
    <m/>
  </r>
  <r>
    <d v="2001-09-28T00:00:00"/>
    <s v="Trap 3"/>
    <n v="24"/>
    <x v="1"/>
    <s v="Restricted"/>
    <x v="3"/>
    <x v="1"/>
    <m/>
    <m/>
    <m/>
    <m/>
    <m/>
    <m/>
    <m/>
    <m/>
    <m/>
    <m/>
    <m/>
    <m/>
    <m/>
    <m/>
    <m/>
    <m/>
    <m/>
    <m/>
    <m/>
    <m/>
    <m/>
    <m/>
    <m/>
    <m/>
    <m/>
    <m/>
    <m/>
    <x v="0"/>
    <n v="0"/>
    <n v="0"/>
    <m/>
    <m/>
    <m/>
  </r>
  <r>
    <d v="2001-09-28T00:00:00"/>
    <s v="Doughnut Hole"/>
    <n v="24.33"/>
    <x v="2"/>
    <s v="Pannes Cleared"/>
    <x v="3"/>
    <x v="1"/>
    <n v="3"/>
    <m/>
    <m/>
    <m/>
    <m/>
    <m/>
    <m/>
    <m/>
    <m/>
    <m/>
    <m/>
    <m/>
    <m/>
    <m/>
    <m/>
    <m/>
    <m/>
    <m/>
    <m/>
    <m/>
    <m/>
    <m/>
    <m/>
    <m/>
    <m/>
    <m/>
    <m/>
    <x v="0"/>
    <n v="3"/>
    <n v="1"/>
    <n v="1.3333333333333333"/>
    <m/>
    <m/>
  </r>
  <r>
    <d v="2001-09-28T00:00:00"/>
    <s v="Boomerang"/>
    <n v="24.5"/>
    <x v="2"/>
    <s v="Pannes Cleared"/>
    <x v="3"/>
    <x v="1"/>
    <m/>
    <m/>
    <m/>
    <m/>
    <m/>
    <m/>
    <m/>
    <m/>
    <m/>
    <m/>
    <m/>
    <m/>
    <m/>
    <m/>
    <m/>
    <m/>
    <m/>
    <n v="2"/>
    <m/>
    <m/>
    <m/>
    <m/>
    <m/>
    <m/>
    <m/>
    <m/>
    <m/>
    <x v="0"/>
    <n v="2"/>
    <n v="1"/>
    <m/>
    <m/>
    <n v="3.5"/>
  </r>
  <r>
    <d v="2001-10-03T00:00:00"/>
    <s v="Trap 1"/>
    <n v="17.170000000000002"/>
    <x v="0"/>
    <s v="Reference"/>
    <x v="3"/>
    <x v="1"/>
    <n v="12"/>
    <m/>
    <m/>
    <m/>
    <m/>
    <m/>
    <m/>
    <m/>
    <m/>
    <m/>
    <m/>
    <m/>
    <m/>
    <m/>
    <m/>
    <m/>
    <m/>
    <n v="1"/>
    <m/>
    <m/>
    <m/>
    <m/>
    <m/>
    <m/>
    <m/>
    <m/>
    <m/>
    <x v="0"/>
    <n v="13"/>
    <n v="2"/>
    <n v="1.6666666666666667"/>
    <m/>
    <n v="2.5"/>
  </r>
  <r>
    <d v="2001-10-03T00:00:00"/>
    <s v="Trap 2"/>
    <n v="17.170000000000002"/>
    <x v="0"/>
    <s v="Reference"/>
    <x v="3"/>
    <x v="1"/>
    <n v="45"/>
    <m/>
    <m/>
    <m/>
    <m/>
    <m/>
    <m/>
    <m/>
    <m/>
    <m/>
    <m/>
    <m/>
    <m/>
    <m/>
    <m/>
    <m/>
    <m/>
    <n v="12"/>
    <m/>
    <m/>
    <m/>
    <m/>
    <m/>
    <m/>
    <m/>
    <m/>
    <m/>
    <x v="0"/>
    <n v="57"/>
    <n v="2"/>
    <n v="1.6888888888888889"/>
    <m/>
    <m/>
  </r>
  <r>
    <d v="2001-10-03T00:00:00"/>
    <s v="Trap 2.5"/>
    <n v="17.170000000000002"/>
    <x v="0"/>
    <s v="Reference"/>
    <x v="3"/>
    <x v="1"/>
    <n v="58"/>
    <m/>
    <m/>
    <m/>
    <m/>
    <m/>
    <m/>
    <m/>
    <m/>
    <m/>
    <m/>
    <m/>
    <n v="1"/>
    <m/>
    <m/>
    <m/>
    <m/>
    <n v="2"/>
    <m/>
    <m/>
    <m/>
    <m/>
    <m/>
    <m/>
    <n v="1"/>
    <m/>
    <m/>
    <x v="0"/>
    <n v="62"/>
    <n v="4"/>
    <n v="1.1206896551724137"/>
    <m/>
    <m/>
  </r>
  <r>
    <d v="2001-10-03T00:00:00"/>
    <s v="Trap 3"/>
    <n v="17.170000000000002"/>
    <x v="1"/>
    <s v="Restricted"/>
    <x v="3"/>
    <x v="1"/>
    <n v="2"/>
    <m/>
    <m/>
    <m/>
    <m/>
    <m/>
    <m/>
    <m/>
    <m/>
    <m/>
    <m/>
    <m/>
    <m/>
    <m/>
    <m/>
    <m/>
    <m/>
    <n v="4"/>
    <m/>
    <m/>
    <m/>
    <m/>
    <m/>
    <m/>
    <m/>
    <m/>
    <m/>
    <x v="0"/>
    <n v="6"/>
    <n v="2"/>
    <n v="1"/>
    <m/>
    <n v="3.5"/>
  </r>
  <r>
    <d v="2001-10-03T00:00:00"/>
    <s v="Doughnut Hole"/>
    <n v="17.5"/>
    <x v="2"/>
    <s v="Pannes Cleared"/>
    <x v="3"/>
    <x v="1"/>
    <n v="617"/>
    <m/>
    <m/>
    <m/>
    <m/>
    <m/>
    <m/>
    <m/>
    <m/>
    <m/>
    <n v="1"/>
    <m/>
    <m/>
    <m/>
    <m/>
    <m/>
    <m/>
    <m/>
    <m/>
    <m/>
    <m/>
    <m/>
    <m/>
    <m/>
    <m/>
    <m/>
    <m/>
    <x v="0"/>
    <n v="618"/>
    <n v="2"/>
    <n v="2.0178282009724473"/>
    <m/>
    <m/>
  </r>
  <r>
    <d v="2001-10-03T00:00:00"/>
    <s v="Boomerang"/>
    <n v="17.5"/>
    <x v="2"/>
    <s v="Pannes Cleared"/>
    <x v="3"/>
    <x v="1"/>
    <n v="39"/>
    <m/>
    <m/>
    <m/>
    <m/>
    <m/>
    <m/>
    <m/>
    <m/>
    <m/>
    <n v="1"/>
    <m/>
    <m/>
    <m/>
    <m/>
    <m/>
    <m/>
    <m/>
    <m/>
    <m/>
    <m/>
    <m/>
    <m/>
    <m/>
    <m/>
    <m/>
    <m/>
    <x v="0"/>
    <n v="40"/>
    <n v="2"/>
    <n v="1.5954692556634305"/>
    <m/>
    <n v="5"/>
  </r>
  <r>
    <d v="2001-10-02T00:00:00"/>
    <s v="Trap 1"/>
    <n v="17"/>
    <x v="0"/>
    <s v="Reference"/>
    <x v="3"/>
    <x v="1"/>
    <n v="2"/>
    <m/>
    <m/>
    <m/>
    <m/>
    <m/>
    <m/>
    <m/>
    <m/>
    <m/>
    <m/>
    <m/>
    <m/>
    <m/>
    <m/>
    <m/>
    <m/>
    <m/>
    <m/>
    <m/>
    <m/>
    <m/>
    <m/>
    <m/>
    <m/>
    <m/>
    <m/>
    <x v="0"/>
    <n v="2"/>
    <n v="1"/>
    <n v="1.75"/>
    <m/>
    <m/>
  </r>
  <r>
    <d v="2001-10-02T00:00:00"/>
    <s v="Trap 2"/>
    <n v="17"/>
    <x v="0"/>
    <s v="Reference"/>
    <x v="3"/>
    <x v="1"/>
    <n v="41"/>
    <m/>
    <m/>
    <m/>
    <m/>
    <m/>
    <m/>
    <m/>
    <m/>
    <m/>
    <n v="1"/>
    <m/>
    <m/>
    <m/>
    <n v="1"/>
    <m/>
    <m/>
    <n v="1"/>
    <m/>
    <m/>
    <m/>
    <m/>
    <m/>
    <m/>
    <m/>
    <m/>
    <m/>
    <x v="0"/>
    <n v="44"/>
    <n v="4"/>
    <n v="2.4634146341463414"/>
    <m/>
    <m/>
  </r>
  <r>
    <d v="2001-10-02T00:00:00"/>
    <s v="Trap 2.5"/>
    <n v="17"/>
    <x v="0"/>
    <s v="Reference"/>
    <x v="3"/>
    <x v="1"/>
    <n v="15"/>
    <m/>
    <m/>
    <m/>
    <m/>
    <m/>
    <m/>
    <m/>
    <m/>
    <m/>
    <n v="1"/>
    <n v="1"/>
    <m/>
    <m/>
    <n v="1"/>
    <m/>
    <m/>
    <n v="2"/>
    <m/>
    <m/>
    <m/>
    <m/>
    <m/>
    <m/>
    <m/>
    <m/>
    <m/>
    <x v="0"/>
    <n v="20"/>
    <n v="5"/>
    <n v="1.6666666666666667"/>
    <m/>
    <m/>
  </r>
  <r>
    <d v="2001-10-02T00:00:00"/>
    <s v="Trap 3"/>
    <n v="17"/>
    <x v="1"/>
    <s v="Restricted"/>
    <x v="3"/>
    <x v="1"/>
    <m/>
    <m/>
    <m/>
    <m/>
    <m/>
    <m/>
    <m/>
    <m/>
    <m/>
    <m/>
    <m/>
    <m/>
    <m/>
    <m/>
    <m/>
    <m/>
    <m/>
    <n v="2"/>
    <m/>
    <m/>
    <m/>
    <m/>
    <m/>
    <m/>
    <m/>
    <m/>
    <m/>
    <x v="0"/>
    <n v="2"/>
    <n v="1"/>
    <m/>
    <m/>
    <n v="2"/>
  </r>
  <r>
    <d v="2001-10-02T00:00:00"/>
    <s v="Doughnut Hole"/>
    <n v="17"/>
    <x v="2"/>
    <s v="Pannes Cleared"/>
    <x v="3"/>
    <x v="1"/>
    <n v="96"/>
    <m/>
    <m/>
    <m/>
    <m/>
    <m/>
    <m/>
    <m/>
    <m/>
    <m/>
    <m/>
    <m/>
    <m/>
    <m/>
    <m/>
    <m/>
    <m/>
    <n v="1"/>
    <m/>
    <m/>
    <m/>
    <m/>
    <m/>
    <m/>
    <m/>
    <m/>
    <m/>
    <x v="0"/>
    <n v="97"/>
    <n v="2"/>
    <n v="7"/>
    <m/>
    <m/>
  </r>
  <r>
    <d v="2001-10-02T00:00:00"/>
    <s v="Boomerang"/>
    <n v="17"/>
    <x v="2"/>
    <s v="Pannes Cleared"/>
    <x v="3"/>
    <x v="1"/>
    <n v="611"/>
    <m/>
    <m/>
    <m/>
    <m/>
    <m/>
    <m/>
    <m/>
    <m/>
    <m/>
    <m/>
    <m/>
    <m/>
    <m/>
    <m/>
    <m/>
    <m/>
    <n v="1"/>
    <m/>
    <m/>
    <m/>
    <m/>
    <m/>
    <m/>
    <m/>
    <m/>
    <m/>
    <x v="0"/>
    <n v="612"/>
    <n v="2"/>
    <n v="0.93289689034369883"/>
    <m/>
    <m/>
  </r>
  <r>
    <d v="2002-04-04T00:00:00"/>
    <s v="Jelly Bean"/>
    <n v="1.5"/>
    <x v="2"/>
    <s v="Pannes Cleared"/>
    <x v="4"/>
    <x v="0"/>
    <n v="9"/>
    <m/>
    <m/>
    <m/>
    <m/>
    <m/>
    <m/>
    <m/>
    <m/>
    <m/>
    <m/>
    <m/>
    <m/>
    <m/>
    <m/>
    <m/>
    <m/>
    <m/>
    <m/>
    <m/>
    <m/>
    <m/>
    <m/>
    <m/>
    <m/>
    <m/>
    <m/>
    <x v="0"/>
    <n v="9"/>
    <n v="1"/>
    <n v="1.6666666666666667"/>
    <m/>
    <m/>
  </r>
  <r>
    <d v="2002-04-04T00:00:00"/>
    <s v="Trap 3"/>
    <n v="4"/>
    <x v="1"/>
    <s v="Restricted"/>
    <x v="4"/>
    <x v="0"/>
    <m/>
    <m/>
    <m/>
    <m/>
    <m/>
    <m/>
    <m/>
    <m/>
    <m/>
    <m/>
    <m/>
    <m/>
    <m/>
    <m/>
    <m/>
    <m/>
    <m/>
    <m/>
    <m/>
    <m/>
    <m/>
    <m/>
    <m/>
    <m/>
    <m/>
    <m/>
    <m/>
    <x v="0"/>
    <n v="0"/>
    <n v="0"/>
    <m/>
    <m/>
    <m/>
  </r>
  <r>
    <d v="2002-04-04T00:00:00"/>
    <s v="Boomerang"/>
    <n v="1.5"/>
    <x v="2"/>
    <s v="Pannes Cleared"/>
    <x v="4"/>
    <x v="0"/>
    <n v="55"/>
    <m/>
    <n v="44"/>
    <m/>
    <m/>
    <m/>
    <m/>
    <m/>
    <m/>
    <m/>
    <m/>
    <m/>
    <m/>
    <m/>
    <m/>
    <m/>
    <m/>
    <m/>
    <m/>
    <m/>
    <m/>
    <m/>
    <m/>
    <m/>
    <m/>
    <m/>
    <m/>
    <x v="0"/>
    <n v="99"/>
    <n v="2"/>
    <n v="3.9090909090909092"/>
    <m/>
    <m/>
  </r>
  <r>
    <d v="2002-04-04T00:00:00"/>
    <s v="Boomerang"/>
    <n v="1.5"/>
    <x v="2"/>
    <s v="Pannes Cleared"/>
    <x v="4"/>
    <x v="0"/>
    <n v="64"/>
    <m/>
    <n v="1"/>
    <m/>
    <m/>
    <m/>
    <m/>
    <m/>
    <m/>
    <m/>
    <m/>
    <m/>
    <m/>
    <m/>
    <m/>
    <m/>
    <m/>
    <m/>
    <m/>
    <m/>
    <m/>
    <m/>
    <m/>
    <m/>
    <m/>
    <m/>
    <m/>
    <x v="0"/>
    <n v="65"/>
    <n v="2"/>
    <n v="2.890625"/>
    <m/>
    <m/>
  </r>
  <r>
    <d v="2002-04-04T00:00:00"/>
    <s v="Doughnut Hole"/>
    <n v="1.5"/>
    <x v="2"/>
    <s v="Pannes Cleared"/>
    <x v="4"/>
    <x v="0"/>
    <n v="122"/>
    <m/>
    <n v="29"/>
    <m/>
    <m/>
    <m/>
    <m/>
    <m/>
    <m/>
    <m/>
    <m/>
    <m/>
    <m/>
    <m/>
    <m/>
    <m/>
    <m/>
    <m/>
    <m/>
    <m/>
    <m/>
    <m/>
    <m/>
    <m/>
    <m/>
    <m/>
    <m/>
    <x v="0"/>
    <n v="151"/>
    <n v="2"/>
    <n v="3.278688524590164"/>
    <m/>
    <m/>
  </r>
  <r>
    <d v="2002-09-09T00:00:00"/>
    <s v="Trap 2.5"/>
    <n v="15.5"/>
    <x v="0"/>
    <s v="Reference"/>
    <x v="4"/>
    <x v="1"/>
    <n v="1"/>
    <m/>
    <m/>
    <m/>
    <m/>
    <m/>
    <m/>
    <m/>
    <m/>
    <m/>
    <m/>
    <m/>
    <m/>
    <m/>
    <m/>
    <m/>
    <m/>
    <n v="1"/>
    <m/>
    <m/>
    <m/>
    <m/>
    <m/>
    <m/>
    <m/>
    <m/>
    <m/>
    <x v="0"/>
    <n v="2"/>
    <n v="2"/>
    <n v="1"/>
    <m/>
    <n v="1"/>
  </r>
  <r>
    <d v="2002-09-09T00:00:00"/>
    <s v="Trap 3"/>
    <n v="15.5"/>
    <x v="1"/>
    <s v="Restricted"/>
    <x v="4"/>
    <x v="1"/>
    <n v="3"/>
    <m/>
    <m/>
    <m/>
    <m/>
    <m/>
    <m/>
    <m/>
    <m/>
    <m/>
    <m/>
    <m/>
    <m/>
    <m/>
    <m/>
    <m/>
    <m/>
    <n v="2"/>
    <m/>
    <m/>
    <m/>
    <m/>
    <m/>
    <m/>
    <m/>
    <m/>
    <m/>
    <x v="0"/>
    <n v="5"/>
    <n v="2"/>
    <n v="3.3"/>
    <m/>
    <n v="5"/>
  </r>
  <r>
    <d v="2002-09-09T00:00:00"/>
    <s v="Doughnut Hole"/>
    <n v="15.5"/>
    <x v="2"/>
    <s v="Pannes Cleared"/>
    <x v="4"/>
    <x v="1"/>
    <n v="324"/>
    <m/>
    <m/>
    <m/>
    <m/>
    <m/>
    <m/>
    <m/>
    <m/>
    <m/>
    <m/>
    <m/>
    <m/>
    <m/>
    <m/>
    <m/>
    <m/>
    <n v="2"/>
    <m/>
    <m/>
    <m/>
    <m/>
    <m/>
    <m/>
    <m/>
    <m/>
    <m/>
    <x v="0"/>
    <n v="326"/>
    <n v="2"/>
    <n v="3.04"/>
    <m/>
    <n v="2.5"/>
  </r>
  <r>
    <d v="2002-09-09T00:00:00"/>
    <s v="Boomerang"/>
    <n v="15.5"/>
    <x v="2"/>
    <s v="Pannes Cleared"/>
    <x v="4"/>
    <x v="1"/>
    <n v="441"/>
    <m/>
    <m/>
    <m/>
    <m/>
    <m/>
    <m/>
    <m/>
    <m/>
    <m/>
    <m/>
    <m/>
    <m/>
    <m/>
    <m/>
    <m/>
    <m/>
    <n v="5"/>
    <m/>
    <m/>
    <m/>
    <m/>
    <m/>
    <m/>
    <m/>
    <m/>
    <m/>
    <x v="0"/>
    <n v="446"/>
    <n v="2"/>
    <n v="2.58"/>
    <m/>
    <n v="2.6"/>
  </r>
  <r>
    <d v="2002-09-10T00:00:00"/>
    <s v="Trap 3 "/>
    <n v="23.75"/>
    <x v="1"/>
    <s v="Restricted"/>
    <x v="4"/>
    <x v="1"/>
    <n v="3"/>
    <m/>
    <m/>
    <m/>
    <m/>
    <m/>
    <m/>
    <m/>
    <m/>
    <m/>
    <m/>
    <m/>
    <m/>
    <m/>
    <m/>
    <m/>
    <m/>
    <n v="2"/>
    <m/>
    <m/>
    <m/>
    <m/>
    <m/>
    <m/>
    <m/>
    <m/>
    <m/>
    <x v="0"/>
    <n v="5"/>
    <n v="2"/>
    <n v="1.7"/>
    <m/>
    <n v="2"/>
  </r>
  <r>
    <d v="2002-09-10T00:00:00"/>
    <s v="Trap 2.5"/>
    <n v="23.75"/>
    <x v="0"/>
    <s v="Reference"/>
    <x v="4"/>
    <x v="1"/>
    <n v="97"/>
    <m/>
    <m/>
    <m/>
    <m/>
    <m/>
    <m/>
    <m/>
    <m/>
    <m/>
    <m/>
    <m/>
    <m/>
    <m/>
    <m/>
    <m/>
    <m/>
    <n v="6"/>
    <m/>
    <m/>
    <m/>
    <m/>
    <m/>
    <m/>
    <m/>
    <m/>
    <m/>
    <x v="0"/>
    <n v="103"/>
    <n v="2"/>
    <n v="1.9"/>
    <m/>
    <n v="2.5"/>
  </r>
  <r>
    <d v="2002-09-10T00:00:00"/>
    <s v="Boomerang"/>
    <n v="23.75"/>
    <x v="2"/>
    <s v="Pannes Cleared"/>
    <x v="4"/>
    <x v="1"/>
    <n v="32"/>
    <m/>
    <m/>
    <m/>
    <m/>
    <m/>
    <m/>
    <m/>
    <m/>
    <m/>
    <m/>
    <m/>
    <m/>
    <m/>
    <m/>
    <m/>
    <m/>
    <n v="3"/>
    <m/>
    <m/>
    <m/>
    <m/>
    <m/>
    <m/>
    <m/>
    <m/>
    <m/>
    <x v="0"/>
    <n v="35"/>
    <n v="2"/>
    <n v="2.4"/>
    <m/>
    <n v="13.3"/>
  </r>
  <r>
    <d v="2002-09-10T00:00:00"/>
    <s v="Doughnut Hole"/>
    <n v="23.75"/>
    <x v="2"/>
    <s v="Pannes Cleared"/>
    <x v="4"/>
    <x v="1"/>
    <n v="252"/>
    <m/>
    <m/>
    <m/>
    <m/>
    <m/>
    <m/>
    <m/>
    <m/>
    <m/>
    <m/>
    <m/>
    <m/>
    <m/>
    <m/>
    <m/>
    <m/>
    <n v="3"/>
    <m/>
    <m/>
    <m/>
    <m/>
    <m/>
    <m/>
    <m/>
    <m/>
    <m/>
    <x v="0"/>
    <n v="255"/>
    <n v="2"/>
    <n v="3.65"/>
    <m/>
    <n v="2"/>
  </r>
  <r>
    <d v="2002-09-11T00:00:00"/>
    <s v="Trap 3"/>
    <n v="24"/>
    <x v="1"/>
    <s v="Restricted"/>
    <x v="4"/>
    <x v="1"/>
    <n v="11"/>
    <m/>
    <m/>
    <m/>
    <m/>
    <m/>
    <m/>
    <m/>
    <m/>
    <m/>
    <m/>
    <m/>
    <m/>
    <m/>
    <m/>
    <m/>
    <m/>
    <n v="2"/>
    <m/>
    <m/>
    <m/>
    <m/>
    <m/>
    <m/>
    <m/>
    <m/>
    <m/>
    <x v="1"/>
    <n v="14"/>
    <n v="3"/>
    <n v="0.9"/>
    <m/>
    <n v="1"/>
  </r>
  <r>
    <d v="2002-09-11T00:00:00"/>
    <s v="Trap 2.5"/>
    <n v="24"/>
    <x v="0"/>
    <s v="Reference"/>
    <x v="4"/>
    <x v="1"/>
    <n v="77"/>
    <m/>
    <m/>
    <m/>
    <m/>
    <m/>
    <m/>
    <m/>
    <m/>
    <m/>
    <m/>
    <m/>
    <m/>
    <m/>
    <m/>
    <m/>
    <m/>
    <n v="12"/>
    <m/>
    <m/>
    <m/>
    <m/>
    <m/>
    <m/>
    <m/>
    <m/>
    <m/>
    <x v="0"/>
    <n v="89"/>
    <n v="2"/>
    <n v="1.4"/>
    <m/>
    <n v="16.670000000000002"/>
  </r>
  <r>
    <d v="2002-09-11T00:00:00"/>
    <s v="Boomerang"/>
    <n v="24"/>
    <x v="2"/>
    <s v="Pannes Cleared"/>
    <x v="4"/>
    <x v="1"/>
    <n v="26"/>
    <m/>
    <m/>
    <m/>
    <m/>
    <m/>
    <m/>
    <m/>
    <m/>
    <m/>
    <m/>
    <m/>
    <m/>
    <m/>
    <m/>
    <m/>
    <m/>
    <n v="9"/>
    <m/>
    <m/>
    <m/>
    <m/>
    <m/>
    <m/>
    <m/>
    <m/>
    <m/>
    <x v="0"/>
    <n v="35"/>
    <n v="2"/>
    <n v="2.4"/>
    <m/>
    <m/>
  </r>
  <r>
    <d v="2002-09-11T00:00:00"/>
    <s v="Doughnut Hole"/>
    <n v="24"/>
    <x v="2"/>
    <s v="Pannes Cleared"/>
    <x v="4"/>
    <x v="1"/>
    <n v="16"/>
    <m/>
    <m/>
    <m/>
    <m/>
    <m/>
    <m/>
    <m/>
    <m/>
    <m/>
    <m/>
    <m/>
    <m/>
    <m/>
    <m/>
    <m/>
    <m/>
    <n v="6"/>
    <m/>
    <m/>
    <m/>
    <m/>
    <m/>
    <m/>
    <m/>
    <m/>
    <m/>
    <x v="0"/>
    <n v="22"/>
    <n v="2"/>
    <n v="3.63"/>
    <m/>
    <n v="5"/>
  </r>
  <r>
    <d v="2002-09-12T00:00:00"/>
    <s v="Doughnut Hole"/>
    <n v="23.75"/>
    <x v="2"/>
    <s v="Pannes Cleared"/>
    <x v="4"/>
    <x v="1"/>
    <n v="25"/>
    <m/>
    <m/>
    <m/>
    <m/>
    <m/>
    <m/>
    <m/>
    <m/>
    <m/>
    <m/>
    <m/>
    <m/>
    <m/>
    <m/>
    <m/>
    <m/>
    <n v="15"/>
    <m/>
    <m/>
    <m/>
    <m/>
    <m/>
    <m/>
    <m/>
    <m/>
    <m/>
    <x v="0"/>
    <n v="40"/>
    <n v="2"/>
    <n v="3.94"/>
    <m/>
    <n v="4.3"/>
  </r>
  <r>
    <d v="2002-09-12T00:00:00"/>
    <s v="Trap 2.5"/>
    <n v="23.75"/>
    <x v="0"/>
    <s v="Reference"/>
    <x v="4"/>
    <x v="1"/>
    <n v="122"/>
    <m/>
    <m/>
    <m/>
    <m/>
    <m/>
    <m/>
    <m/>
    <m/>
    <m/>
    <m/>
    <n v="1"/>
    <m/>
    <m/>
    <m/>
    <m/>
    <m/>
    <n v="18"/>
    <m/>
    <m/>
    <m/>
    <m/>
    <m/>
    <m/>
    <m/>
    <m/>
    <m/>
    <x v="0"/>
    <n v="141"/>
    <n v="3"/>
    <n v="2.17"/>
    <n v="15"/>
    <n v="4.4000000000000004"/>
  </r>
  <r>
    <d v="2002-09-12T00:00:00"/>
    <s v="Trap 3"/>
    <n v="23.75"/>
    <x v="1"/>
    <s v="Restricted"/>
    <x v="4"/>
    <x v="1"/>
    <n v="3"/>
    <m/>
    <m/>
    <m/>
    <m/>
    <m/>
    <m/>
    <m/>
    <m/>
    <m/>
    <m/>
    <m/>
    <m/>
    <m/>
    <m/>
    <m/>
    <m/>
    <n v="8"/>
    <m/>
    <m/>
    <m/>
    <m/>
    <m/>
    <m/>
    <m/>
    <m/>
    <m/>
    <x v="0"/>
    <n v="11"/>
    <n v="2"/>
    <n v="1.6"/>
    <m/>
    <n v="4.4000000000000004"/>
  </r>
  <r>
    <d v="2002-09-12T00:00:00"/>
    <s v="Boomerang"/>
    <n v="23.75"/>
    <x v="2"/>
    <s v="Pannes Cleared"/>
    <x v="4"/>
    <x v="1"/>
    <n v="127"/>
    <m/>
    <m/>
    <m/>
    <m/>
    <m/>
    <m/>
    <m/>
    <m/>
    <m/>
    <m/>
    <m/>
    <m/>
    <m/>
    <m/>
    <m/>
    <m/>
    <n v="17"/>
    <m/>
    <m/>
    <m/>
    <m/>
    <m/>
    <m/>
    <m/>
    <m/>
    <m/>
    <x v="0"/>
    <n v="144"/>
    <n v="2"/>
    <n v="3.46"/>
    <m/>
    <n v="3.53"/>
  </r>
  <r>
    <d v="2002-09-24T00:00:00"/>
    <s v="Trap 2.5"/>
    <n v="15.5"/>
    <x v="0"/>
    <s v="Reference"/>
    <x v="4"/>
    <x v="1"/>
    <n v="17"/>
    <m/>
    <m/>
    <m/>
    <m/>
    <m/>
    <m/>
    <m/>
    <m/>
    <m/>
    <m/>
    <m/>
    <m/>
    <m/>
    <m/>
    <m/>
    <m/>
    <n v="5"/>
    <m/>
    <m/>
    <m/>
    <m/>
    <m/>
    <m/>
    <m/>
    <m/>
    <m/>
    <x v="0"/>
    <n v="22"/>
    <n v="2"/>
    <m/>
    <m/>
    <m/>
  </r>
  <r>
    <d v="2002-09-24T00:00:00"/>
    <s v="Trap 3"/>
    <n v="15.5"/>
    <x v="1"/>
    <s v="Restricted"/>
    <x v="4"/>
    <x v="1"/>
    <m/>
    <m/>
    <m/>
    <m/>
    <m/>
    <m/>
    <m/>
    <m/>
    <m/>
    <m/>
    <m/>
    <m/>
    <m/>
    <m/>
    <m/>
    <m/>
    <m/>
    <m/>
    <m/>
    <m/>
    <m/>
    <m/>
    <m/>
    <m/>
    <m/>
    <m/>
    <m/>
    <x v="0"/>
    <n v="0"/>
    <n v="0"/>
    <m/>
    <m/>
    <m/>
  </r>
  <r>
    <d v="2002-09-26T00:00:00"/>
    <s v="Trap 2.5"/>
    <m/>
    <x v="0"/>
    <s v="Reference"/>
    <x v="4"/>
    <x v="1"/>
    <n v="17"/>
    <m/>
    <m/>
    <m/>
    <m/>
    <m/>
    <m/>
    <m/>
    <m/>
    <m/>
    <m/>
    <m/>
    <m/>
    <m/>
    <m/>
    <m/>
    <m/>
    <n v="5"/>
    <m/>
    <m/>
    <m/>
    <m/>
    <m/>
    <m/>
    <m/>
    <m/>
    <m/>
    <x v="0"/>
    <n v="22"/>
    <n v="2"/>
    <n v="3.8"/>
    <m/>
    <n v="4"/>
  </r>
  <r>
    <d v="2002-09-26T00:00:00"/>
    <s v="Doughnut Hole"/>
    <m/>
    <x v="2"/>
    <s v="Pannes Cleared"/>
    <x v="4"/>
    <x v="1"/>
    <n v="252"/>
    <m/>
    <m/>
    <m/>
    <m/>
    <m/>
    <m/>
    <m/>
    <m/>
    <m/>
    <m/>
    <m/>
    <m/>
    <m/>
    <m/>
    <m/>
    <m/>
    <n v="1"/>
    <m/>
    <m/>
    <m/>
    <m/>
    <m/>
    <m/>
    <m/>
    <m/>
    <m/>
    <x v="0"/>
    <n v="253"/>
    <n v="2"/>
    <n v="1.8"/>
    <m/>
    <n v="7"/>
  </r>
  <r>
    <d v="2002-10-15T00:00:00"/>
    <s v="Boomerang"/>
    <n v="4.5"/>
    <x v="2"/>
    <s v="Pannes Cleared"/>
    <x v="4"/>
    <x v="1"/>
    <m/>
    <m/>
    <m/>
    <m/>
    <m/>
    <m/>
    <m/>
    <m/>
    <m/>
    <m/>
    <m/>
    <m/>
    <m/>
    <m/>
    <m/>
    <m/>
    <m/>
    <m/>
    <m/>
    <m/>
    <m/>
    <m/>
    <m/>
    <m/>
    <m/>
    <m/>
    <m/>
    <x v="0"/>
    <n v="0"/>
    <n v="0"/>
    <m/>
    <m/>
    <m/>
  </r>
  <r>
    <d v="2002-10-15T00:00:00"/>
    <s v="Doughnut Hole"/>
    <n v="4.5"/>
    <x v="2"/>
    <s v="Pannes Cleared"/>
    <x v="4"/>
    <x v="1"/>
    <m/>
    <m/>
    <m/>
    <m/>
    <m/>
    <m/>
    <m/>
    <m/>
    <m/>
    <m/>
    <m/>
    <m/>
    <m/>
    <m/>
    <m/>
    <m/>
    <m/>
    <m/>
    <m/>
    <m/>
    <m/>
    <m/>
    <m/>
    <m/>
    <m/>
    <m/>
    <m/>
    <x v="0"/>
    <n v="0"/>
    <n v="0"/>
    <m/>
    <m/>
    <m/>
  </r>
  <r>
    <d v="2003-06-02T00:00:00"/>
    <s v="Boomerang"/>
    <n v="18.5"/>
    <x v="2"/>
    <s v="Pannes Cleared"/>
    <x v="5"/>
    <x v="0"/>
    <n v="106"/>
    <m/>
    <m/>
    <m/>
    <m/>
    <m/>
    <m/>
    <m/>
    <m/>
    <m/>
    <m/>
    <m/>
    <m/>
    <m/>
    <m/>
    <m/>
    <m/>
    <m/>
    <m/>
    <m/>
    <m/>
    <m/>
    <m/>
    <m/>
    <m/>
    <m/>
    <m/>
    <x v="0"/>
    <n v="106"/>
    <n v="0"/>
    <n v="4"/>
    <m/>
    <m/>
  </r>
  <r>
    <d v="2003-06-02T00:00:00"/>
    <s v="Doughnut Hole"/>
    <n v="18.5"/>
    <x v="2"/>
    <s v="Pannes Cleared"/>
    <x v="5"/>
    <x v="0"/>
    <n v="72"/>
    <m/>
    <m/>
    <m/>
    <m/>
    <m/>
    <m/>
    <m/>
    <m/>
    <m/>
    <m/>
    <m/>
    <n v="1"/>
    <m/>
    <m/>
    <m/>
    <m/>
    <m/>
    <m/>
    <m/>
    <m/>
    <m/>
    <m/>
    <m/>
    <m/>
    <m/>
    <m/>
    <x v="0"/>
    <n v="73"/>
    <n v="2"/>
    <n v="4"/>
    <m/>
    <m/>
  </r>
  <r>
    <d v="2003-06-03T00:00:00"/>
    <s v="Trap 2.5"/>
    <n v="24"/>
    <x v="0"/>
    <s v="Reference"/>
    <x v="5"/>
    <x v="0"/>
    <n v="0"/>
    <m/>
    <m/>
    <m/>
    <m/>
    <m/>
    <m/>
    <m/>
    <m/>
    <m/>
    <m/>
    <m/>
    <m/>
    <m/>
    <m/>
    <m/>
    <m/>
    <m/>
    <m/>
    <m/>
    <m/>
    <m/>
    <m/>
    <m/>
    <m/>
    <m/>
    <m/>
    <x v="0"/>
    <n v="0"/>
    <n v="0"/>
    <m/>
    <m/>
    <m/>
  </r>
  <r>
    <d v="2003-06-03T00:00:00"/>
    <s v="Trap 3"/>
    <n v="24"/>
    <x v="1"/>
    <s v="Restricted"/>
    <x v="5"/>
    <x v="0"/>
    <n v="0"/>
    <m/>
    <m/>
    <m/>
    <m/>
    <m/>
    <m/>
    <m/>
    <m/>
    <m/>
    <m/>
    <m/>
    <m/>
    <m/>
    <m/>
    <m/>
    <m/>
    <m/>
    <m/>
    <m/>
    <m/>
    <m/>
    <n v="7"/>
    <m/>
    <m/>
    <m/>
    <m/>
    <x v="0"/>
    <n v="7"/>
    <n v="1"/>
    <m/>
    <m/>
    <m/>
  </r>
  <r>
    <d v="2003-06-03T00:00:00"/>
    <s v="Boomerang"/>
    <n v="24"/>
    <x v="2"/>
    <s v="Pannes Cleared"/>
    <x v="5"/>
    <x v="0"/>
    <n v="111"/>
    <m/>
    <m/>
    <m/>
    <m/>
    <m/>
    <m/>
    <m/>
    <m/>
    <m/>
    <m/>
    <m/>
    <m/>
    <m/>
    <m/>
    <m/>
    <m/>
    <m/>
    <m/>
    <m/>
    <m/>
    <m/>
    <m/>
    <m/>
    <m/>
    <m/>
    <m/>
    <x v="0"/>
    <n v="111"/>
    <n v="1"/>
    <n v="3.15"/>
    <m/>
    <m/>
  </r>
  <r>
    <d v="2003-06-03T00:00:00"/>
    <s v="Doughnut Hole"/>
    <n v="24"/>
    <x v="2"/>
    <s v="Pannes Cleared"/>
    <x v="5"/>
    <x v="0"/>
    <n v="92"/>
    <m/>
    <m/>
    <m/>
    <m/>
    <m/>
    <m/>
    <m/>
    <m/>
    <m/>
    <m/>
    <m/>
    <m/>
    <m/>
    <m/>
    <m/>
    <m/>
    <m/>
    <m/>
    <m/>
    <m/>
    <m/>
    <m/>
    <m/>
    <m/>
    <m/>
    <m/>
    <x v="0"/>
    <n v="92"/>
    <n v="1"/>
    <n v="3.09"/>
    <m/>
    <m/>
  </r>
  <r>
    <d v="2010-06-05T00:00:00"/>
    <s v="Trap 2.5"/>
    <n v="16"/>
    <x v="0"/>
    <s v="Reference"/>
    <x v="5"/>
    <x v="0"/>
    <n v="0"/>
    <m/>
    <m/>
    <m/>
    <m/>
    <m/>
    <m/>
    <m/>
    <m/>
    <m/>
    <m/>
    <n v="1"/>
    <m/>
    <m/>
    <m/>
    <m/>
    <m/>
    <m/>
    <m/>
    <m/>
    <m/>
    <m/>
    <m/>
    <m/>
    <m/>
    <m/>
    <m/>
    <x v="0"/>
    <n v="1"/>
    <n v="1"/>
    <m/>
    <m/>
    <m/>
  </r>
  <r>
    <d v="2010-06-05T00:00:00"/>
    <s v="Trap 3"/>
    <n v="16"/>
    <x v="1"/>
    <s v="Restricted"/>
    <x v="5"/>
    <x v="0"/>
    <n v="0"/>
    <m/>
    <m/>
    <m/>
    <m/>
    <m/>
    <m/>
    <m/>
    <m/>
    <m/>
    <m/>
    <m/>
    <m/>
    <m/>
    <m/>
    <m/>
    <n v="2"/>
    <m/>
    <m/>
    <m/>
    <m/>
    <m/>
    <m/>
    <m/>
    <m/>
    <m/>
    <m/>
    <x v="0"/>
    <n v="2"/>
    <n v="1"/>
    <m/>
    <m/>
    <m/>
  </r>
  <r>
    <d v="2010-06-05T00:00:00"/>
    <s v="Boomerang"/>
    <n v="16"/>
    <x v="2"/>
    <s v="Pannes Cleared"/>
    <x v="5"/>
    <x v="0"/>
    <n v="90"/>
    <m/>
    <n v="1"/>
    <m/>
    <m/>
    <m/>
    <m/>
    <m/>
    <m/>
    <m/>
    <m/>
    <m/>
    <m/>
    <m/>
    <m/>
    <m/>
    <m/>
    <m/>
    <m/>
    <m/>
    <m/>
    <m/>
    <m/>
    <m/>
    <m/>
    <m/>
    <m/>
    <x v="0"/>
    <n v="91"/>
    <n v="2"/>
    <n v="3"/>
    <m/>
    <m/>
  </r>
  <r>
    <d v="2010-06-05T00:00:00"/>
    <s v="Doughnut Hole"/>
    <n v="16"/>
    <x v="2"/>
    <s v="Pannes Cleared"/>
    <x v="5"/>
    <x v="0"/>
    <n v="43"/>
    <m/>
    <m/>
    <m/>
    <m/>
    <m/>
    <m/>
    <m/>
    <m/>
    <m/>
    <m/>
    <m/>
    <n v="1"/>
    <m/>
    <m/>
    <m/>
    <m/>
    <m/>
    <m/>
    <m/>
    <m/>
    <m/>
    <m/>
    <m/>
    <m/>
    <m/>
    <m/>
    <x v="0"/>
    <n v="44"/>
    <n v="2"/>
    <n v="3"/>
    <m/>
    <m/>
  </r>
  <r>
    <d v="2003-06-06T00:00:00"/>
    <s v="Trap 2.5"/>
    <n v="24"/>
    <x v="0"/>
    <s v="Reference"/>
    <x v="5"/>
    <x v="0"/>
    <n v="0"/>
    <m/>
    <m/>
    <m/>
    <m/>
    <m/>
    <m/>
    <m/>
    <m/>
    <m/>
    <m/>
    <m/>
    <m/>
    <m/>
    <m/>
    <m/>
    <n v="2"/>
    <m/>
    <m/>
    <m/>
    <m/>
    <m/>
    <n v="14"/>
    <m/>
    <m/>
    <m/>
    <m/>
    <x v="0"/>
    <n v="16"/>
    <n v="2"/>
    <m/>
    <m/>
    <m/>
  </r>
  <r>
    <d v="2003-06-06T00:00:00"/>
    <s v="Trap 3"/>
    <n v="24"/>
    <x v="1"/>
    <s v="Restricted"/>
    <x v="5"/>
    <x v="0"/>
    <m/>
    <m/>
    <m/>
    <m/>
    <m/>
    <m/>
    <m/>
    <m/>
    <m/>
    <m/>
    <m/>
    <n v="2"/>
    <m/>
    <m/>
    <m/>
    <m/>
    <m/>
    <m/>
    <m/>
    <m/>
    <m/>
    <m/>
    <m/>
    <m/>
    <m/>
    <m/>
    <m/>
    <x v="0"/>
    <n v="2"/>
    <n v="1"/>
    <m/>
    <m/>
    <m/>
  </r>
  <r>
    <d v="2003-06-06T00:00:00"/>
    <s v="Boomerang"/>
    <n v="24"/>
    <x v="2"/>
    <s v="Pannes Cleared"/>
    <x v="5"/>
    <x v="0"/>
    <n v="101"/>
    <m/>
    <m/>
    <m/>
    <m/>
    <m/>
    <m/>
    <m/>
    <m/>
    <m/>
    <m/>
    <m/>
    <m/>
    <m/>
    <m/>
    <m/>
    <m/>
    <m/>
    <m/>
    <m/>
    <m/>
    <m/>
    <m/>
    <m/>
    <m/>
    <m/>
    <m/>
    <x v="0"/>
    <n v="101"/>
    <n v="1"/>
    <n v="2.7"/>
    <m/>
    <m/>
  </r>
  <r>
    <d v="2003-06-06T00:00:00"/>
    <s v="Doughnut Hole"/>
    <n v="24"/>
    <x v="2"/>
    <s v="Pannes Cleared"/>
    <x v="5"/>
    <x v="0"/>
    <n v="42"/>
    <m/>
    <m/>
    <m/>
    <m/>
    <m/>
    <m/>
    <m/>
    <m/>
    <m/>
    <m/>
    <m/>
    <m/>
    <m/>
    <m/>
    <m/>
    <m/>
    <m/>
    <m/>
    <m/>
    <m/>
    <m/>
    <m/>
    <m/>
    <m/>
    <m/>
    <m/>
    <x v="0"/>
    <n v="42"/>
    <n v="1"/>
    <n v="3.6"/>
    <m/>
    <m/>
  </r>
  <r>
    <d v="2003-09-29T00:00:00"/>
    <s v="Trap 2.5"/>
    <n v="23.5"/>
    <x v="0"/>
    <s v="Reference"/>
    <x v="5"/>
    <x v="1"/>
    <n v="86"/>
    <n v="1"/>
    <m/>
    <m/>
    <m/>
    <m/>
    <m/>
    <m/>
    <m/>
    <m/>
    <m/>
    <m/>
    <m/>
    <m/>
    <m/>
    <m/>
    <m/>
    <m/>
    <m/>
    <m/>
    <m/>
    <m/>
    <m/>
    <m/>
    <m/>
    <m/>
    <m/>
    <x v="0"/>
    <n v="87"/>
    <n v="2"/>
    <m/>
    <m/>
    <m/>
  </r>
  <r>
    <d v="2003-09-29T00:00:00"/>
    <s v="Trap 3"/>
    <n v="23.5"/>
    <x v="1"/>
    <s v="Restricted"/>
    <x v="5"/>
    <x v="1"/>
    <n v="134"/>
    <m/>
    <m/>
    <m/>
    <m/>
    <m/>
    <m/>
    <m/>
    <m/>
    <m/>
    <m/>
    <m/>
    <m/>
    <n v="1"/>
    <m/>
    <m/>
    <m/>
    <m/>
    <m/>
    <m/>
    <m/>
    <m/>
    <m/>
    <m/>
    <m/>
    <m/>
    <m/>
    <x v="0"/>
    <n v="135"/>
    <n v="2"/>
    <m/>
    <m/>
    <m/>
  </r>
  <r>
    <d v="2003-09-29T00:00:00"/>
    <s v="Boomerang"/>
    <n v="23.5"/>
    <x v="2"/>
    <s v="Pannes Cleared"/>
    <x v="5"/>
    <x v="1"/>
    <n v="219"/>
    <m/>
    <m/>
    <m/>
    <m/>
    <m/>
    <m/>
    <m/>
    <m/>
    <m/>
    <m/>
    <m/>
    <m/>
    <m/>
    <m/>
    <m/>
    <m/>
    <m/>
    <m/>
    <m/>
    <m/>
    <m/>
    <m/>
    <m/>
    <m/>
    <m/>
    <m/>
    <x v="0"/>
    <n v="219"/>
    <n v="1"/>
    <m/>
    <m/>
    <m/>
  </r>
  <r>
    <d v="2003-09-29T00:00:00"/>
    <s v="Doughnut Hole"/>
    <n v="23.5"/>
    <x v="2"/>
    <s v="Pannes Cleared"/>
    <x v="5"/>
    <x v="1"/>
    <n v="2"/>
    <m/>
    <m/>
    <m/>
    <m/>
    <m/>
    <m/>
    <m/>
    <m/>
    <m/>
    <m/>
    <m/>
    <m/>
    <m/>
    <m/>
    <m/>
    <m/>
    <m/>
    <m/>
    <m/>
    <m/>
    <m/>
    <m/>
    <m/>
    <m/>
    <m/>
    <m/>
    <x v="0"/>
    <n v="2"/>
    <n v="1"/>
    <m/>
    <m/>
    <m/>
  </r>
  <r>
    <d v="2003-09-30T00:00:00"/>
    <s v="Trap 2.5"/>
    <n v="23.5"/>
    <x v="0"/>
    <s v="Reference"/>
    <x v="5"/>
    <x v="1"/>
    <n v="86"/>
    <m/>
    <m/>
    <m/>
    <m/>
    <m/>
    <m/>
    <m/>
    <m/>
    <m/>
    <m/>
    <n v="3"/>
    <m/>
    <m/>
    <m/>
    <m/>
    <m/>
    <n v="1"/>
    <m/>
    <m/>
    <m/>
    <m/>
    <m/>
    <m/>
    <m/>
    <m/>
    <m/>
    <x v="0"/>
    <n v="90"/>
    <n v="3"/>
    <n v="2.0299999999999998"/>
    <n v="16.600000000000001"/>
    <m/>
  </r>
  <r>
    <d v="2003-09-30T00:00:00"/>
    <s v="Trap 3"/>
    <n v="23.5"/>
    <x v="1"/>
    <s v="Restricted"/>
    <x v="5"/>
    <x v="1"/>
    <n v="127"/>
    <m/>
    <m/>
    <m/>
    <m/>
    <m/>
    <m/>
    <m/>
    <m/>
    <m/>
    <m/>
    <m/>
    <m/>
    <m/>
    <m/>
    <m/>
    <m/>
    <n v="1"/>
    <m/>
    <m/>
    <m/>
    <m/>
    <m/>
    <m/>
    <m/>
    <m/>
    <m/>
    <x v="0"/>
    <n v="128"/>
    <n v="2"/>
    <n v="1.8"/>
    <m/>
    <m/>
  </r>
  <r>
    <d v="2003-09-30T00:00:00"/>
    <s v="Boomerang"/>
    <n v="23.5"/>
    <x v="2"/>
    <s v="Pannes Cleared"/>
    <x v="5"/>
    <x v="1"/>
    <n v="284"/>
    <m/>
    <m/>
    <m/>
    <m/>
    <m/>
    <m/>
    <m/>
    <m/>
    <m/>
    <m/>
    <m/>
    <m/>
    <m/>
    <m/>
    <m/>
    <m/>
    <m/>
    <m/>
    <m/>
    <m/>
    <m/>
    <m/>
    <m/>
    <m/>
    <m/>
    <m/>
    <x v="0"/>
    <n v="284"/>
    <n v="1"/>
    <n v="3.2"/>
    <m/>
    <m/>
  </r>
  <r>
    <d v="2003-09-30T00:00:00"/>
    <s v="Doughnut Hole"/>
    <n v="23.5"/>
    <x v="2"/>
    <s v="Pannes Cleared"/>
    <x v="5"/>
    <x v="1"/>
    <n v="211"/>
    <m/>
    <m/>
    <m/>
    <m/>
    <m/>
    <m/>
    <m/>
    <m/>
    <m/>
    <m/>
    <m/>
    <m/>
    <m/>
    <m/>
    <m/>
    <m/>
    <m/>
    <m/>
    <m/>
    <m/>
    <m/>
    <m/>
    <m/>
    <m/>
    <m/>
    <m/>
    <x v="0"/>
    <n v="211"/>
    <n v="1"/>
    <n v="3.43"/>
    <m/>
    <m/>
  </r>
  <r>
    <d v="2003-10-01T00:00:00"/>
    <s v="Trap 2.5"/>
    <n v="24.5"/>
    <x v="0"/>
    <s v="Reference"/>
    <x v="5"/>
    <x v="1"/>
    <n v="9"/>
    <m/>
    <m/>
    <m/>
    <m/>
    <m/>
    <m/>
    <m/>
    <m/>
    <m/>
    <m/>
    <m/>
    <m/>
    <m/>
    <m/>
    <m/>
    <m/>
    <n v="1"/>
    <m/>
    <m/>
    <m/>
    <m/>
    <m/>
    <m/>
    <m/>
    <m/>
    <m/>
    <x v="0"/>
    <n v="10"/>
    <n v="2"/>
    <n v="2.1"/>
    <m/>
    <n v="5"/>
  </r>
  <r>
    <d v="2003-10-01T00:00:00"/>
    <s v="Trap 3"/>
    <n v="24.5"/>
    <x v="1"/>
    <s v="Restricted"/>
    <x v="5"/>
    <x v="1"/>
    <n v="114"/>
    <m/>
    <m/>
    <m/>
    <m/>
    <m/>
    <m/>
    <m/>
    <m/>
    <m/>
    <m/>
    <n v="1"/>
    <m/>
    <m/>
    <m/>
    <m/>
    <m/>
    <m/>
    <m/>
    <m/>
    <m/>
    <m/>
    <m/>
    <m/>
    <m/>
    <m/>
    <m/>
    <x v="0"/>
    <n v="115"/>
    <n v="2"/>
    <n v="1.6"/>
    <n v="5"/>
    <m/>
  </r>
  <r>
    <d v="2003-10-01T00:00:00"/>
    <s v="Boomerang"/>
    <n v="24.5"/>
    <x v="2"/>
    <s v="Pannes Cleared"/>
    <x v="5"/>
    <x v="1"/>
    <n v="29"/>
    <m/>
    <m/>
    <m/>
    <m/>
    <m/>
    <m/>
    <m/>
    <m/>
    <m/>
    <m/>
    <m/>
    <m/>
    <m/>
    <m/>
    <m/>
    <m/>
    <m/>
    <m/>
    <m/>
    <m/>
    <m/>
    <m/>
    <m/>
    <m/>
    <m/>
    <m/>
    <x v="0"/>
    <n v="29"/>
    <n v="1"/>
    <n v="1.9"/>
    <m/>
    <m/>
  </r>
  <r>
    <d v="2003-10-02T00:00:00"/>
    <s v="Trap 2.5"/>
    <n v="23"/>
    <x v="0"/>
    <s v="Reference"/>
    <x v="5"/>
    <x v="1"/>
    <n v="19"/>
    <m/>
    <m/>
    <m/>
    <m/>
    <m/>
    <m/>
    <m/>
    <m/>
    <m/>
    <m/>
    <m/>
    <m/>
    <m/>
    <m/>
    <m/>
    <m/>
    <m/>
    <m/>
    <m/>
    <m/>
    <m/>
    <m/>
    <m/>
    <m/>
    <m/>
    <m/>
    <x v="0"/>
    <n v="19"/>
    <n v="1"/>
    <n v="1.6"/>
    <m/>
    <m/>
  </r>
  <r>
    <d v="2003-10-02T00:00:00"/>
    <s v="Trap 3"/>
    <n v="23"/>
    <x v="1"/>
    <s v="Restricted"/>
    <x v="5"/>
    <x v="1"/>
    <n v="65"/>
    <m/>
    <m/>
    <m/>
    <m/>
    <m/>
    <m/>
    <m/>
    <m/>
    <m/>
    <m/>
    <m/>
    <m/>
    <m/>
    <m/>
    <m/>
    <m/>
    <m/>
    <m/>
    <m/>
    <m/>
    <m/>
    <m/>
    <m/>
    <m/>
    <m/>
    <m/>
    <x v="0"/>
    <n v="65"/>
    <n v="1"/>
    <n v="1.6"/>
    <m/>
    <m/>
  </r>
  <r>
    <d v="2003-10-02T00:00:00"/>
    <s v="Boomerang"/>
    <n v="23"/>
    <x v="2"/>
    <s v="Pannes Cleared"/>
    <x v="5"/>
    <x v="1"/>
    <n v="266"/>
    <m/>
    <m/>
    <m/>
    <m/>
    <m/>
    <m/>
    <m/>
    <m/>
    <m/>
    <m/>
    <m/>
    <m/>
    <m/>
    <m/>
    <m/>
    <m/>
    <m/>
    <m/>
    <m/>
    <m/>
    <m/>
    <m/>
    <m/>
    <m/>
    <m/>
    <m/>
    <x v="0"/>
    <n v="266"/>
    <n v="1"/>
    <n v="1.9"/>
    <m/>
    <m/>
  </r>
  <r>
    <d v="2003-10-02T00:00:00"/>
    <s v="Doughnut Hole"/>
    <n v="23"/>
    <x v="2"/>
    <s v="Pannes Cleared"/>
    <x v="5"/>
    <x v="1"/>
    <n v="243"/>
    <m/>
    <m/>
    <m/>
    <m/>
    <m/>
    <m/>
    <m/>
    <m/>
    <m/>
    <m/>
    <m/>
    <m/>
    <m/>
    <m/>
    <m/>
    <m/>
    <m/>
    <m/>
    <m/>
    <m/>
    <m/>
    <m/>
    <m/>
    <m/>
    <m/>
    <m/>
    <x v="0"/>
    <n v="243"/>
    <n v="1"/>
    <n v="2.2999999999999998"/>
    <m/>
    <m/>
  </r>
  <r>
    <d v="2003-10-16T00:00:00"/>
    <s v="Trap 2.5"/>
    <n v="20.5"/>
    <x v="0"/>
    <s v="Reference"/>
    <x v="5"/>
    <x v="1"/>
    <n v="15"/>
    <m/>
    <m/>
    <m/>
    <m/>
    <m/>
    <m/>
    <m/>
    <m/>
    <m/>
    <m/>
    <m/>
    <m/>
    <m/>
    <m/>
    <m/>
    <m/>
    <m/>
    <m/>
    <m/>
    <m/>
    <m/>
    <m/>
    <m/>
    <m/>
    <m/>
    <m/>
    <x v="0"/>
    <n v="15"/>
    <n v="1"/>
    <n v="1.3"/>
    <m/>
    <m/>
  </r>
  <r>
    <d v="2003-10-16T00:00:00"/>
    <s v="Trap 3"/>
    <n v="20.5"/>
    <x v="1"/>
    <s v="Restricted"/>
    <x v="5"/>
    <x v="1"/>
    <n v="4"/>
    <m/>
    <m/>
    <m/>
    <m/>
    <m/>
    <m/>
    <m/>
    <m/>
    <m/>
    <m/>
    <m/>
    <m/>
    <m/>
    <m/>
    <m/>
    <m/>
    <m/>
    <m/>
    <m/>
    <m/>
    <m/>
    <m/>
    <m/>
    <m/>
    <m/>
    <m/>
    <x v="0"/>
    <n v="4"/>
    <n v="1"/>
    <n v="1.3"/>
    <m/>
    <m/>
  </r>
  <r>
    <d v="2003-10-16T00:00:00"/>
    <s v="Boomerang"/>
    <n v="20.5"/>
    <x v="2"/>
    <s v="Pannes Cleared"/>
    <x v="5"/>
    <x v="1"/>
    <n v="225"/>
    <m/>
    <m/>
    <m/>
    <m/>
    <m/>
    <m/>
    <m/>
    <m/>
    <m/>
    <m/>
    <m/>
    <m/>
    <m/>
    <m/>
    <m/>
    <m/>
    <m/>
    <m/>
    <m/>
    <m/>
    <m/>
    <m/>
    <m/>
    <m/>
    <m/>
    <m/>
    <x v="0"/>
    <n v="225"/>
    <n v="1"/>
    <n v="1.2"/>
    <m/>
    <m/>
  </r>
  <r>
    <d v="2003-10-16T00:00:00"/>
    <s v="Doughnut Hole"/>
    <n v="20.5"/>
    <x v="2"/>
    <s v="Pannes Cleared"/>
    <x v="5"/>
    <x v="1"/>
    <n v="168"/>
    <m/>
    <m/>
    <m/>
    <m/>
    <m/>
    <m/>
    <m/>
    <m/>
    <m/>
    <m/>
    <m/>
    <m/>
    <m/>
    <m/>
    <m/>
    <m/>
    <m/>
    <m/>
    <m/>
    <m/>
    <m/>
    <m/>
    <m/>
    <m/>
    <m/>
    <m/>
    <x v="0"/>
    <n v="168"/>
    <n v="1"/>
    <n v="1.4"/>
    <m/>
    <m/>
  </r>
  <r>
    <d v="2003-10-17T00:00:00"/>
    <s v="Trap 2.5"/>
    <n v="24"/>
    <x v="0"/>
    <s v="Reference"/>
    <x v="5"/>
    <x v="1"/>
    <m/>
    <m/>
    <m/>
    <m/>
    <m/>
    <m/>
    <m/>
    <m/>
    <m/>
    <m/>
    <m/>
    <m/>
    <m/>
    <m/>
    <m/>
    <m/>
    <m/>
    <m/>
    <m/>
    <m/>
    <m/>
    <m/>
    <m/>
    <m/>
    <m/>
    <m/>
    <m/>
    <x v="0"/>
    <n v="0"/>
    <n v="1"/>
    <m/>
    <m/>
    <m/>
  </r>
  <r>
    <d v="2003-10-17T00:00:00"/>
    <s v="Trap 3"/>
    <n v="24"/>
    <x v="1"/>
    <s v="Restricted"/>
    <x v="5"/>
    <x v="1"/>
    <n v="4"/>
    <m/>
    <m/>
    <m/>
    <m/>
    <m/>
    <m/>
    <m/>
    <m/>
    <m/>
    <m/>
    <m/>
    <m/>
    <m/>
    <m/>
    <m/>
    <m/>
    <m/>
    <m/>
    <m/>
    <m/>
    <m/>
    <m/>
    <m/>
    <m/>
    <m/>
    <m/>
    <x v="0"/>
    <n v="4"/>
    <n v="1"/>
    <n v="3.1"/>
    <m/>
    <m/>
  </r>
  <r>
    <d v="2003-10-17T00:00:00"/>
    <s v="Boomerang"/>
    <n v="24"/>
    <x v="2"/>
    <s v="Pannes Cleared"/>
    <x v="5"/>
    <x v="1"/>
    <n v="112"/>
    <m/>
    <m/>
    <m/>
    <m/>
    <m/>
    <m/>
    <m/>
    <m/>
    <m/>
    <m/>
    <m/>
    <m/>
    <m/>
    <m/>
    <m/>
    <m/>
    <m/>
    <m/>
    <m/>
    <m/>
    <m/>
    <m/>
    <m/>
    <m/>
    <m/>
    <m/>
    <x v="0"/>
    <n v="112"/>
    <n v="1"/>
    <n v="1.3"/>
    <m/>
    <m/>
  </r>
  <r>
    <d v="2003-10-17T00:00:00"/>
    <s v="Doughnut Hole"/>
    <n v="24"/>
    <x v="2"/>
    <s v="Pannes Cleared"/>
    <x v="5"/>
    <x v="1"/>
    <n v="134"/>
    <m/>
    <m/>
    <m/>
    <m/>
    <m/>
    <m/>
    <m/>
    <m/>
    <m/>
    <m/>
    <m/>
    <m/>
    <m/>
    <m/>
    <m/>
    <m/>
    <m/>
    <m/>
    <m/>
    <m/>
    <m/>
    <m/>
    <m/>
    <m/>
    <m/>
    <m/>
    <x v="0"/>
    <n v="134"/>
    <n v="1"/>
    <n v="1.5"/>
    <m/>
    <m/>
  </r>
  <r>
    <d v="2003-10-30T00:00:00"/>
    <s v="Trap 2.5"/>
    <n v="15"/>
    <x v="0"/>
    <s v="Reference"/>
    <x v="5"/>
    <x v="1"/>
    <n v="112"/>
    <m/>
    <m/>
    <m/>
    <m/>
    <m/>
    <m/>
    <m/>
    <m/>
    <m/>
    <m/>
    <m/>
    <m/>
    <m/>
    <m/>
    <m/>
    <m/>
    <m/>
    <m/>
    <m/>
    <m/>
    <m/>
    <m/>
    <m/>
    <m/>
    <m/>
    <m/>
    <x v="0"/>
    <n v="112"/>
    <n v="1"/>
    <n v="2.5"/>
    <m/>
    <m/>
  </r>
  <r>
    <d v="2003-10-30T00:00:00"/>
    <s v="Trap 3"/>
    <n v="15"/>
    <x v="1"/>
    <s v="Restricted"/>
    <x v="5"/>
    <x v="1"/>
    <n v="45"/>
    <m/>
    <m/>
    <m/>
    <m/>
    <m/>
    <m/>
    <m/>
    <m/>
    <m/>
    <m/>
    <m/>
    <m/>
    <m/>
    <m/>
    <m/>
    <m/>
    <m/>
    <m/>
    <m/>
    <m/>
    <m/>
    <m/>
    <m/>
    <m/>
    <n v="1"/>
    <m/>
    <x v="0"/>
    <n v="46"/>
    <n v="2"/>
    <n v="1.2"/>
    <m/>
    <m/>
  </r>
  <r>
    <d v="2003-10-30T00:00:00"/>
    <s v="Boomerang"/>
    <n v="15"/>
    <x v="2"/>
    <s v="Pannes Cleared"/>
    <x v="5"/>
    <x v="1"/>
    <n v="181"/>
    <m/>
    <m/>
    <m/>
    <m/>
    <m/>
    <m/>
    <m/>
    <m/>
    <m/>
    <m/>
    <m/>
    <m/>
    <m/>
    <m/>
    <m/>
    <m/>
    <m/>
    <m/>
    <m/>
    <m/>
    <m/>
    <m/>
    <m/>
    <m/>
    <m/>
    <m/>
    <x v="0"/>
    <n v="181"/>
    <n v="1"/>
    <n v="1.3"/>
    <m/>
    <m/>
  </r>
  <r>
    <d v="2003-10-30T00:00:00"/>
    <s v="Doughnut Hole"/>
    <n v="15"/>
    <x v="2"/>
    <s v="Pannes Cleared"/>
    <x v="5"/>
    <x v="1"/>
    <n v="172"/>
    <m/>
    <m/>
    <m/>
    <m/>
    <m/>
    <m/>
    <m/>
    <m/>
    <m/>
    <m/>
    <m/>
    <m/>
    <m/>
    <m/>
    <m/>
    <m/>
    <m/>
    <m/>
    <m/>
    <m/>
    <m/>
    <m/>
    <m/>
    <m/>
    <m/>
    <m/>
    <x v="0"/>
    <n v="172"/>
    <n v="1"/>
    <n v="1.8"/>
    <m/>
    <m/>
  </r>
  <r>
    <d v="2004-06-02T00:00:00"/>
    <s v="Trap 2"/>
    <n v="14.5"/>
    <x v="0"/>
    <s v="Reference"/>
    <x v="6"/>
    <x v="0"/>
    <n v="76"/>
    <m/>
    <m/>
    <m/>
    <n v="0"/>
    <n v="0"/>
    <n v="0"/>
    <n v="0"/>
    <n v="0"/>
    <m/>
    <m/>
    <m/>
    <n v="1"/>
    <m/>
    <m/>
    <m/>
    <m/>
    <m/>
    <m/>
    <m/>
    <m/>
    <m/>
    <m/>
    <m/>
    <m/>
    <m/>
    <m/>
    <x v="0"/>
    <n v="77"/>
    <n v="2"/>
    <n v="2.3026315789473686"/>
    <m/>
    <m/>
  </r>
  <r>
    <d v="2004-06-02T00:00:00"/>
    <s v="Trap 3"/>
    <n v="14.5"/>
    <x v="1"/>
    <s v="Restricted"/>
    <x v="6"/>
    <x v="0"/>
    <n v="44"/>
    <m/>
    <n v="2"/>
    <m/>
    <m/>
    <m/>
    <m/>
    <m/>
    <m/>
    <m/>
    <m/>
    <m/>
    <n v="2"/>
    <m/>
    <m/>
    <m/>
    <m/>
    <m/>
    <m/>
    <m/>
    <m/>
    <m/>
    <m/>
    <m/>
    <m/>
    <m/>
    <m/>
    <x v="0"/>
    <n v="48"/>
    <n v="3"/>
    <n v="2.2727272727272729"/>
    <m/>
    <m/>
  </r>
  <r>
    <d v="2004-06-02T00:00:00"/>
    <s v="Boomerang"/>
    <n v="14.5"/>
    <x v="2"/>
    <s v="Pannes Cleared"/>
    <x v="6"/>
    <x v="0"/>
    <n v="466"/>
    <m/>
    <m/>
    <m/>
    <m/>
    <m/>
    <m/>
    <m/>
    <m/>
    <m/>
    <m/>
    <m/>
    <m/>
    <m/>
    <m/>
    <m/>
    <m/>
    <m/>
    <m/>
    <m/>
    <m/>
    <m/>
    <m/>
    <m/>
    <n v="1"/>
    <m/>
    <m/>
    <x v="0"/>
    <n v="467"/>
    <n v="3"/>
    <n v="2.2317596566523603"/>
    <m/>
    <m/>
  </r>
  <r>
    <d v="2004-06-02T00:00:00"/>
    <s v="Doughnut Hole"/>
    <n v="14.5"/>
    <x v="2"/>
    <s v="Pannes Cleared"/>
    <x v="6"/>
    <x v="0"/>
    <n v="15"/>
    <m/>
    <m/>
    <m/>
    <m/>
    <m/>
    <m/>
    <m/>
    <m/>
    <m/>
    <m/>
    <m/>
    <m/>
    <m/>
    <m/>
    <m/>
    <m/>
    <m/>
    <m/>
    <m/>
    <m/>
    <m/>
    <m/>
    <m/>
    <m/>
    <m/>
    <m/>
    <x v="0"/>
    <n v="15"/>
    <n v="1"/>
    <n v="2.2000000000000002"/>
    <m/>
    <m/>
  </r>
  <r>
    <d v="2004-06-03T00:00:00"/>
    <s v="Trap 2"/>
    <n v="24"/>
    <x v="0"/>
    <s v="Reference"/>
    <x v="6"/>
    <x v="0"/>
    <n v="115"/>
    <m/>
    <m/>
    <m/>
    <m/>
    <m/>
    <m/>
    <m/>
    <m/>
    <m/>
    <m/>
    <n v="1"/>
    <m/>
    <m/>
    <m/>
    <m/>
    <m/>
    <m/>
    <m/>
    <m/>
    <m/>
    <m/>
    <m/>
    <m/>
    <m/>
    <m/>
    <m/>
    <x v="0"/>
    <n v="116"/>
    <n v="2"/>
    <n v="2.7391304347826089"/>
    <n v="25"/>
    <m/>
  </r>
  <r>
    <d v="2004-06-03T00:00:00"/>
    <s v="Trap 3"/>
    <n v="24"/>
    <x v="1"/>
    <s v="Restricted"/>
    <x v="6"/>
    <x v="0"/>
    <n v="26"/>
    <m/>
    <m/>
    <m/>
    <m/>
    <m/>
    <m/>
    <m/>
    <m/>
    <m/>
    <m/>
    <n v="1"/>
    <m/>
    <n v="3"/>
    <m/>
    <m/>
    <m/>
    <m/>
    <m/>
    <n v="1"/>
    <n v="2"/>
    <m/>
    <m/>
    <m/>
    <m/>
    <m/>
    <m/>
    <x v="0"/>
    <n v="33"/>
    <n v="5"/>
    <n v="1.7475728155339805"/>
    <n v="10"/>
    <m/>
  </r>
  <r>
    <d v="2004-06-03T00:00:00"/>
    <s v="Boomerang"/>
    <n v="24"/>
    <x v="2"/>
    <s v="Pannes Cleared"/>
    <x v="6"/>
    <x v="0"/>
    <n v="36"/>
    <m/>
    <m/>
    <m/>
    <m/>
    <m/>
    <m/>
    <m/>
    <m/>
    <m/>
    <m/>
    <m/>
    <m/>
    <m/>
    <m/>
    <m/>
    <m/>
    <m/>
    <m/>
    <m/>
    <m/>
    <m/>
    <m/>
    <m/>
    <m/>
    <m/>
    <m/>
    <x v="0"/>
    <n v="36"/>
    <n v="1"/>
    <n v="2.3039215686274508"/>
    <m/>
    <m/>
  </r>
  <r>
    <d v="2004-06-03T00:00:00"/>
    <s v="Doughnut Hole"/>
    <n v="24"/>
    <x v="2"/>
    <s v="Pannes Cleared"/>
    <x v="6"/>
    <x v="0"/>
    <n v="25"/>
    <m/>
    <m/>
    <m/>
    <m/>
    <m/>
    <m/>
    <m/>
    <m/>
    <m/>
    <m/>
    <m/>
    <m/>
    <m/>
    <m/>
    <m/>
    <m/>
    <m/>
    <m/>
    <m/>
    <m/>
    <m/>
    <m/>
    <m/>
    <m/>
    <m/>
    <m/>
    <x v="0"/>
    <n v="25"/>
    <n v="1"/>
    <n v="1.1000000000000001"/>
    <m/>
    <m/>
  </r>
  <r>
    <d v="2004-06-04T00:00:00"/>
    <s v="Trap 2"/>
    <n v="24"/>
    <x v="0"/>
    <s v="Reference"/>
    <x v="6"/>
    <x v="0"/>
    <n v="164"/>
    <m/>
    <m/>
    <n v="1"/>
    <m/>
    <m/>
    <m/>
    <m/>
    <m/>
    <m/>
    <m/>
    <m/>
    <m/>
    <n v="2"/>
    <m/>
    <m/>
    <m/>
    <m/>
    <m/>
    <m/>
    <n v="4"/>
    <m/>
    <m/>
    <m/>
    <m/>
    <m/>
    <m/>
    <x v="0"/>
    <n v="171"/>
    <n v="4"/>
    <n v="2.4695121951219514"/>
    <m/>
    <m/>
  </r>
  <r>
    <d v="2004-06-04T00:00:00"/>
    <s v="Trap 3"/>
    <n v="24"/>
    <x v="1"/>
    <s v="Restricted"/>
    <x v="6"/>
    <x v="0"/>
    <n v="1"/>
    <m/>
    <m/>
    <n v="1"/>
    <m/>
    <m/>
    <m/>
    <m/>
    <m/>
    <m/>
    <m/>
    <m/>
    <m/>
    <n v="9"/>
    <m/>
    <m/>
    <m/>
    <m/>
    <m/>
    <m/>
    <n v="4"/>
    <m/>
    <n v="1"/>
    <m/>
    <m/>
    <m/>
    <m/>
    <x v="0"/>
    <n v="16"/>
    <n v="5"/>
    <n v="1.8"/>
    <m/>
    <m/>
  </r>
  <r>
    <d v="2004-06-04T00:00:00"/>
    <s v="Doughnut Hole"/>
    <n v="24"/>
    <x v="2"/>
    <s v="Pannes Cleared"/>
    <x v="6"/>
    <x v="0"/>
    <n v="253"/>
    <m/>
    <m/>
    <m/>
    <m/>
    <m/>
    <m/>
    <m/>
    <m/>
    <m/>
    <m/>
    <m/>
    <n v="1"/>
    <m/>
    <m/>
    <m/>
    <m/>
    <m/>
    <m/>
    <m/>
    <m/>
    <m/>
    <m/>
    <m/>
    <m/>
    <m/>
    <m/>
    <x v="0"/>
    <n v="254"/>
    <n v="2"/>
    <n v="1.6007905138339922"/>
    <m/>
    <m/>
  </r>
  <r>
    <d v="2004-06-10T00:00:00"/>
    <s v="Trap 2"/>
    <n v="16.5"/>
    <x v="0"/>
    <s v="Reference"/>
    <x v="6"/>
    <x v="0"/>
    <n v="115"/>
    <m/>
    <m/>
    <n v="1"/>
    <m/>
    <m/>
    <m/>
    <m/>
    <m/>
    <m/>
    <m/>
    <m/>
    <m/>
    <m/>
    <m/>
    <m/>
    <m/>
    <m/>
    <m/>
    <m/>
    <m/>
    <m/>
    <m/>
    <m/>
    <m/>
    <m/>
    <m/>
    <x v="0"/>
    <n v="116"/>
    <n v="2"/>
    <n v="1.4935064935064934"/>
    <m/>
    <m/>
  </r>
  <r>
    <d v="2004-06-10T00:00:00"/>
    <s v="Trap 3"/>
    <n v="16.5"/>
    <x v="1"/>
    <s v="Restricted"/>
    <x v="6"/>
    <x v="0"/>
    <m/>
    <m/>
    <n v="1"/>
    <m/>
    <m/>
    <m/>
    <m/>
    <m/>
    <m/>
    <m/>
    <m/>
    <m/>
    <m/>
    <m/>
    <m/>
    <m/>
    <m/>
    <m/>
    <m/>
    <m/>
    <m/>
    <m/>
    <m/>
    <m/>
    <m/>
    <m/>
    <m/>
    <x v="0"/>
    <n v="1"/>
    <n v="1"/>
    <m/>
    <m/>
    <m/>
  </r>
  <r>
    <d v="2004-06-10T00:00:00"/>
    <s v="Boomerang"/>
    <n v="3"/>
    <x v="2"/>
    <s v="Pannes Cleared"/>
    <x v="6"/>
    <x v="0"/>
    <n v="284"/>
    <m/>
    <m/>
    <m/>
    <m/>
    <m/>
    <m/>
    <m/>
    <m/>
    <m/>
    <m/>
    <m/>
    <n v="2"/>
    <m/>
    <m/>
    <m/>
    <m/>
    <m/>
    <m/>
    <m/>
    <m/>
    <m/>
    <m/>
    <m/>
    <m/>
    <m/>
    <m/>
    <x v="0"/>
    <n v="286"/>
    <n v="2"/>
    <n v="1.7253521126760563"/>
    <m/>
    <m/>
  </r>
  <r>
    <d v="2004-06-10T00:00:00"/>
    <s v="Doughnut Hole"/>
    <n v="3"/>
    <x v="2"/>
    <s v="Pannes Cleared"/>
    <x v="6"/>
    <x v="0"/>
    <n v="273"/>
    <m/>
    <m/>
    <m/>
    <m/>
    <m/>
    <m/>
    <m/>
    <m/>
    <m/>
    <m/>
    <m/>
    <m/>
    <m/>
    <m/>
    <m/>
    <m/>
    <m/>
    <m/>
    <m/>
    <m/>
    <m/>
    <m/>
    <m/>
    <m/>
    <m/>
    <m/>
    <x v="0"/>
    <n v="273"/>
    <n v="1"/>
    <n v="1.6117216117216118"/>
    <m/>
    <m/>
  </r>
  <r>
    <d v="2004-09-15T00:00:00"/>
    <s v="Trap 2"/>
    <n v="14"/>
    <x v="0"/>
    <s v="Reference"/>
    <x v="6"/>
    <x v="1"/>
    <n v="13"/>
    <m/>
    <m/>
    <m/>
    <m/>
    <m/>
    <m/>
    <m/>
    <m/>
    <m/>
    <m/>
    <m/>
    <m/>
    <m/>
    <m/>
    <m/>
    <m/>
    <m/>
    <m/>
    <m/>
    <m/>
    <m/>
    <m/>
    <m/>
    <m/>
    <m/>
    <m/>
    <x v="0"/>
    <n v="13"/>
    <n v="1"/>
    <n v="2"/>
    <m/>
    <m/>
  </r>
  <r>
    <d v="2004-09-15T00:00:00"/>
    <s v="Trap 2.5"/>
    <n v="14"/>
    <x v="0"/>
    <s v="Reference"/>
    <x v="6"/>
    <x v="1"/>
    <n v="6"/>
    <m/>
    <m/>
    <m/>
    <m/>
    <m/>
    <m/>
    <m/>
    <m/>
    <m/>
    <m/>
    <m/>
    <m/>
    <m/>
    <m/>
    <m/>
    <m/>
    <m/>
    <m/>
    <m/>
    <m/>
    <m/>
    <m/>
    <m/>
    <m/>
    <m/>
    <m/>
    <x v="0"/>
    <n v="6"/>
    <n v="1"/>
    <n v="0.33"/>
    <m/>
    <m/>
  </r>
  <r>
    <d v="2004-09-15T00:00:00"/>
    <s v="Boomerang"/>
    <n v="13.5"/>
    <x v="2"/>
    <s v="Pannes Cleared"/>
    <x v="6"/>
    <x v="1"/>
    <n v="237"/>
    <m/>
    <m/>
    <m/>
    <m/>
    <m/>
    <m/>
    <m/>
    <m/>
    <m/>
    <m/>
    <m/>
    <m/>
    <m/>
    <m/>
    <m/>
    <m/>
    <m/>
    <m/>
    <m/>
    <m/>
    <m/>
    <m/>
    <m/>
    <m/>
    <m/>
    <m/>
    <x v="0"/>
    <n v="237"/>
    <n v="1"/>
    <n v="2"/>
    <m/>
    <m/>
  </r>
  <r>
    <d v="2004-09-15T00:00:00"/>
    <s v="Doughnut Hole"/>
    <n v="13.5"/>
    <x v="2"/>
    <s v="Pannes Cleared"/>
    <x v="6"/>
    <x v="1"/>
    <n v="575"/>
    <m/>
    <m/>
    <m/>
    <m/>
    <m/>
    <m/>
    <m/>
    <m/>
    <m/>
    <m/>
    <m/>
    <m/>
    <m/>
    <m/>
    <m/>
    <m/>
    <m/>
    <m/>
    <m/>
    <m/>
    <m/>
    <m/>
    <m/>
    <m/>
    <m/>
    <m/>
    <x v="0"/>
    <n v="575"/>
    <n v="1"/>
    <n v="3.5"/>
    <m/>
    <m/>
  </r>
  <r>
    <d v="2004-09-16T00:00:00"/>
    <s v="Trap 2"/>
    <n v="23.5"/>
    <x v="0"/>
    <s v="Reference"/>
    <x v="6"/>
    <x v="1"/>
    <n v="116"/>
    <m/>
    <m/>
    <m/>
    <m/>
    <m/>
    <m/>
    <m/>
    <m/>
    <m/>
    <m/>
    <m/>
    <m/>
    <m/>
    <m/>
    <m/>
    <m/>
    <n v="1"/>
    <m/>
    <m/>
    <m/>
    <m/>
    <m/>
    <m/>
    <m/>
    <m/>
    <m/>
    <x v="0"/>
    <n v="117"/>
    <n v="2"/>
    <n v="1.7"/>
    <m/>
    <n v="3"/>
  </r>
  <r>
    <d v="2004-09-16T00:00:00"/>
    <s v="Trap 2.5"/>
    <n v="23.5"/>
    <x v="0"/>
    <s v="Reference"/>
    <x v="6"/>
    <x v="1"/>
    <n v="13"/>
    <m/>
    <m/>
    <m/>
    <m/>
    <m/>
    <m/>
    <m/>
    <m/>
    <m/>
    <m/>
    <m/>
    <m/>
    <m/>
    <m/>
    <m/>
    <m/>
    <m/>
    <m/>
    <m/>
    <m/>
    <m/>
    <m/>
    <m/>
    <m/>
    <m/>
    <m/>
    <x v="0"/>
    <n v="13"/>
    <n v="1"/>
    <n v="3"/>
    <m/>
    <m/>
  </r>
  <r>
    <d v="2004-09-16T00:00:00"/>
    <s v="Boomerang"/>
    <n v="19.5"/>
    <x v="2"/>
    <s v="Pannes Cleared"/>
    <x v="6"/>
    <x v="1"/>
    <n v="181"/>
    <m/>
    <m/>
    <m/>
    <m/>
    <m/>
    <m/>
    <m/>
    <m/>
    <m/>
    <m/>
    <m/>
    <m/>
    <m/>
    <m/>
    <m/>
    <m/>
    <m/>
    <m/>
    <m/>
    <m/>
    <m/>
    <m/>
    <m/>
    <m/>
    <m/>
    <m/>
    <x v="0"/>
    <n v="181"/>
    <n v="1"/>
    <n v="2"/>
    <m/>
    <m/>
  </r>
  <r>
    <d v="2004-09-20T00:00:00"/>
    <s v="Trap 2"/>
    <n v="3"/>
    <x v="0"/>
    <s v="Reference"/>
    <x v="6"/>
    <x v="1"/>
    <n v="8"/>
    <m/>
    <m/>
    <m/>
    <m/>
    <m/>
    <m/>
    <m/>
    <m/>
    <m/>
    <m/>
    <m/>
    <m/>
    <m/>
    <m/>
    <m/>
    <m/>
    <m/>
    <m/>
    <m/>
    <m/>
    <m/>
    <m/>
    <m/>
    <m/>
    <m/>
    <m/>
    <x v="0"/>
    <n v="8"/>
    <n v="1"/>
    <n v="2.5"/>
    <m/>
    <m/>
  </r>
  <r>
    <d v="2004-09-20T00:00:00"/>
    <s v="Trap 2.5"/>
    <n v="2.7"/>
    <x v="0"/>
    <s v="Reference"/>
    <x v="6"/>
    <x v="1"/>
    <m/>
    <m/>
    <m/>
    <m/>
    <m/>
    <m/>
    <m/>
    <m/>
    <m/>
    <m/>
    <m/>
    <m/>
    <m/>
    <m/>
    <m/>
    <m/>
    <m/>
    <m/>
    <m/>
    <m/>
    <m/>
    <m/>
    <m/>
    <m/>
    <m/>
    <m/>
    <m/>
    <x v="0"/>
    <n v="0"/>
    <n v="0"/>
    <m/>
    <m/>
    <m/>
  </r>
  <r>
    <d v="2004-09-20T00:00:00"/>
    <s v="Boomerang"/>
    <n v="2"/>
    <x v="2"/>
    <s v="Pannes Cleared"/>
    <x v="6"/>
    <x v="1"/>
    <n v="1"/>
    <m/>
    <m/>
    <m/>
    <m/>
    <m/>
    <m/>
    <m/>
    <m/>
    <m/>
    <m/>
    <m/>
    <m/>
    <m/>
    <m/>
    <m/>
    <m/>
    <m/>
    <m/>
    <m/>
    <m/>
    <m/>
    <m/>
    <m/>
    <m/>
    <m/>
    <m/>
    <x v="0"/>
    <n v="1"/>
    <n v="1"/>
    <n v="2.6"/>
    <m/>
    <m/>
  </r>
  <r>
    <d v="2004-09-21T00:00:00"/>
    <s v="Trap 2"/>
    <n v="24.5"/>
    <x v="0"/>
    <s v="Reference"/>
    <x v="6"/>
    <x v="1"/>
    <n v="82"/>
    <m/>
    <m/>
    <m/>
    <m/>
    <m/>
    <m/>
    <m/>
    <m/>
    <m/>
    <m/>
    <m/>
    <m/>
    <m/>
    <m/>
    <m/>
    <m/>
    <m/>
    <m/>
    <m/>
    <m/>
    <m/>
    <m/>
    <m/>
    <m/>
    <m/>
    <m/>
    <x v="0"/>
    <n v="82"/>
    <n v="1"/>
    <n v="2.8"/>
    <m/>
    <m/>
  </r>
  <r>
    <d v="2004-09-21T00:00:00"/>
    <s v="Trap 2.5"/>
    <n v="24.5"/>
    <x v="0"/>
    <s v="Reference"/>
    <x v="6"/>
    <x v="1"/>
    <n v="127"/>
    <m/>
    <m/>
    <m/>
    <m/>
    <m/>
    <m/>
    <m/>
    <m/>
    <m/>
    <m/>
    <m/>
    <m/>
    <m/>
    <m/>
    <m/>
    <m/>
    <m/>
    <m/>
    <m/>
    <m/>
    <m/>
    <m/>
    <m/>
    <m/>
    <m/>
    <m/>
    <x v="0"/>
    <n v="127"/>
    <n v="1"/>
    <n v="1.7"/>
    <m/>
    <m/>
  </r>
  <r>
    <d v="2004-09-21T00:00:00"/>
    <s v="Trap 3"/>
    <n v="24.5"/>
    <x v="1"/>
    <s v="Restricted"/>
    <x v="6"/>
    <x v="1"/>
    <n v="42"/>
    <m/>
    <m/>
    <m/>
    <m/>
    <m/>
    <m/>
    <m/>
    <m/>
    <m/>
    <m/>
    <m/>
    <m/>
    <m/>
    <m/>
    <m/>
    <m/>
    <m/>
    <m/>
    <m/>
    <m/>
    <m/>
    <m/>
    <m/>
    <m/>
    <m/>
    <m/>
    <x v="0"/>
    <n v="42"/>
    <n v="1"/>
    <n v="1.2"/>
    <m/>
    <m/>
  </r>
  <r>
    <d v="2004-09-21T00:00:00"/>
    <s v="Boomerang"/>
    <n v="18.5"/>
    <x v="2"/>
    <s v="Pannes Cleared"/>
    <x v="6"/>
    <x v="1"/>
    <n v="16"/>
    <m/>
    <m/>
    <m/>
    <m/>
    <m/>
    <m/>
    <m/>
    <m/>
    <m/>
    <m/>
    <m/>
    <m/>
    <m/>
    <m/>
    <m/>
    <m/>
    <m/>
    <m/>
    <m/>
    <m/>
    <m/>
    <m/>
    <m/>
    <m/>
    <m/>
    <m/>
    <x v="0"/>
    <n v="16"/>
    <n v="1"/>
    <n v="1.9"/>
    <m/>
    <m/>
  </r>
  <r>
    <d v="2004-09-23T00:00:00"/>
    <s v="Trap 2"/>
    <n v="16"/>
    <x v="0"/>
    <s v="Reference"/>
    <x v="6"/>
    <x v="1"/>
    <n v="126"/>
    <m/>
    <m/>
    <m/>
    <m/>
    <m/>
    <m/>
    <m/>
    <m/>
    <m/>
    <m/>
    <m/>
    <m/>
    <m/>
    <m/>
    <m/>
    <m/>
    <m/>
    <m/>
    <m/>
    <m/>
    <m/>
    <m/>
    <m/>
    <m/>
    <m/>
    <m/>
    <x v="0"/>
    <n v="126"/>
    <n v="1"/>
    <n v="2.8"/>
    <m/>
    <m/>
  </r>
  <r>
    <d v="2004-09-23T00:00:00"/>
    <s v="Trap 2.5"/>
    <n v="14"/>
    <x v="0"/>
    <s v="Reference"/>
    <x v="6"/>
    <x v="1"/>
    <n v="147"/>
    <m/>
    <m/>
    <m/>
    <m/>
    <m/>
    <m/>
    <m/>
    <m/>
    <m/>
    <m/>
    <m/>
    <m/>
    <m/>
    <m/>
    <m/>
    <m/>
    <m/>
    <m/>
    <m/>
    <m/>
    <m/>
    <m/>
    <m/>
    <m/>
    <m/>
    <m/>
    <x v="0"/>
    <n v="147"/>
    <n v="1"/>
    <n v="2.7"/>
    <m/>
    <m/>
  </r>
  <r>
    <d v="2004-09-23T00:00:00"/>
    <s v="Trap 3"/>
    <n v="14"/>
    <x v="1"/>
    <s v="Restricted"/>
    <x v="6"/>
    <x v="1"/>
    <n v="48"/>
    <m/>
    <m/>
    <m/>
    <m/>
    <m/>
    <m/>
    <m/>
    <m/>
    <m/>
    <m/>
    <m/>
    <m/>
    <m/>
    <m/>
    <m/>
    <m/>
    <m/>
    <m/>
    <m/>
    <m/>
    <m/>
    <m/>
    <m/>
    <m/>
    <m/>
    <m/>
    <x v="0"/>
    <n v="48"/>
    <n v="1"/>
    <n v="1.1000000000000001"/>
    <m/>
    <m/>
  </r>
  <r>
    <d v="2004-09-23T00:00:00"/>
    <s v="Boomerang"/>
    <n v="14"/>
    <x v="2"/>
    <s v="Pannes Cleared"/>
    <x v="6"/>
    <x v="1"/>
    <n v="99"/>
    <m/>
    <m/>
    <m/>
    <m/>
    <m/>
    <m/>
    <m/>
    <m/>
    <m/>
    <m/>
    <m/>
    <m/>
    <m/>
    <m/>
    <m/>
    <m/>
    <m/>
    <m/>
    <m/>
    <m/>
    <m/>
    <m/>
    <m/>
    <m/>
    <m/>
    <m/>
    <x v="0"/>
    <n v="99"/>
    <n v="1"/>
    <n v="1.7"/>
    <m/>
    <m/>
  </r>
  <r>
    <d v="2004-09-24T00:00:00"/>
    <s v="Trap 2"/>
    <n v="17.5"/>
    <x v="0"/>
    <s v="Reference"/>
    <x v="6"/>
    <x v="1"/>
    <n v="15"/>
    <m/>
    <m/>
    <m/>
    <m/>
    <m/>
    <m/>
    <m/>
    <m/>
    <m/>
    <m/>
    <m/>
    <m/>
    <m/>
    <m/>
    <m/>
    <m/>
    <n v="27"/>
    <m/>
    <m/>
    <m/>
    <m/>
    <m/>
    <m/>
    <m/>
    <n v="1"/>
    <m/>
    <x v="0"/>
    <n v="43"/>
    <n v="3"/>
    <n v="3"/>
    <m/>
    <n v="4.5999999999999996"/>
  </r>
  <r>
    <d v="2004-09-24T00:00:00"/>
    <s v="Trap 2.5"/>
    <n v="17.5"/>
    <x v="0"/>
    <s v="Reference"/>
    <x v="6"/>
    <x v="1"/>
    <n v="34"/>
    <m/>
    <m/>
    <m/>
    <m/>
    <m/>
    <m/>
    <m/>
    <m/>
    <m/>
    <m/>
    <m/>
    <m/>
    <m/>
    <m/>
    <m/>
    <m/>
    <m/>
    <m/>
    <m/>
    <m/>
    <m/>
    <m/>
    <m/>
    <m/>
    <m/>
    <m/>
    <x v="0"/>
    <n v="34"/>
    <n v="2"/>
    <n v="2.4"/>
    <m/>
    <m/>
  </r>
  <r>
    <d v="2004-09-24T00:00:00"/>
    <s v="Trap 3"/>
    <n v="17.5"/>
    <x v="1"/>
    <s v="Restricted"/>
    <x v="6"/>
    <x v="1"/>
    <n v="16"/>
    <m/>
    <m/>
    <m/>
    <m/>
    <m/>
    <m/>
    <m/>
    <m/>
    <m/>
    <m/>
    <m/>
    <m/>
    <m/>
    <m/>
    <m/>
    <m/>
    <m/>
    <m/>
    <m/>
    <m/>
    <m/>
    <m/>
    <m/>
    <m/>
    <m/>
    <m/>
    <x v="0"/>
    <n v="16"/>
    <n v="1"/>
    <n v="2"/>
    <m/>
    <m/>
  </r>
  <r>
    <d v="2004-09-24T00:00:00"/>
    <s v="Boomerang"/>
    <n v="17.5"/>
    <x v="2"/>
    <s v="Pannes Cleared"/>
    <x v="6"/>
    <x v="1"/>
    <n v="219"/>
    <m/>
    <m/>
    <m/>
    <m/>
    <m/>
    <m/>
    <m/>
    <m/>
    <m/>
    <m/>
    <m/>
    <m/>
    <m/>
    <m/>
    <m/>
    <m/>
    <m/>
    <m/>
    <m/>
    <m/>
    <m/>
    <m/>
    <m/>
    <m/>
    <m/>
    <m/>
    <x v="0"/>
    <n v="219"/>
    <n v="1"/>
    <n v="2"/>
    <m/>
    <m/>
  </r>
  <r>
    <d v="2005-06-06T00:00:00"/>
    <s v="Boomerang"/>
    <n v="0.66"/>
    <x v="2"/>
    <s v="Pannes Cleared"/>
    <x v="7"/>
    <x v="0"/>
    <n v="14"/>
    <m/>
    <m/>
    <m/>
    <m/>
    <m/>
    <m/>
    <m/>
    <m/>
    <m/>
    <m/>
    <m/>
    <m/>
    <m/>
    <m/>
    <m/>
    <m/>
    <m/>
    <m/>
    <m/>
    <m/>
    <m/>
    <m/>
    <m/>
    <m/>
    <m/>
    <m/>
    <x v="0"/>
    <n v="14"/>
    <n v="1"/>
    <n v="3.75"/>
    <m/>
    <m/>
  </r>
  <r>
    <d v="2005-06-06T00:00:00"/>
    <s v="Doughnut Hole"/>
    <n v="1.33"/>
    <x v="2"/>
    <s v="Pannes Cleared"/>
    <x v="7"/>
    <x v="0"/>
    <m/>
    <m/>
    <n v="1"/>
    <m/>
    <m/>
    <m/>
    <m/>
    <m/>
    <m/>
    <m/>
    <m/>
    <m/>
    <m/>
    <m/>
    <m/>
    <m/>
    <m/>
    <m/>
    <m/>
    <m/>
    <m/>
    <m/>
    <m/>
    <m/>
    <m/>
    <m/>
    <m/>
    <x v="0"/>
    <n v="1"/>
    <n v="1"/>
    <n v="0"/>
    <m/>
    <m/>
  </r>
  <r>
    <d v="2005-06-07T00:00:00"/>
    <s v="Boomerang"/>
    <n v="19.5"/>
    <x v="2"/>
    <s v="Pannes Cleared"/>
    <x v="7"/>
    <x v="0"/>
    <n v="171"/>
    <m/>
    <m/>
    <m/>
    <m/>
    <m/>
    <m/>
    <m/>
    <m/>
    <m/>
    <m/>
    <n v="1"/>
    <m/>
    <n v="1"/>
    <m/>
    <m/>
    <m/>
    <m/>
    <m/>
    <m/>
    <m/>
    <m/>
    <m/>
    <m/>
    <m/>
    <m/>
    <m/>
    <x v="0"/>
    <n v="173"/>
    <n v="3"/>
    <n v="3.0409356725146197"/>
    <n v="5"/>
    <m/>
  </r>
  <r>
    <d v="2005-06-07T00:00:00"/>
    <s v="Doughnut Hole"/>
    <n v="19.5"/>
    <x v="2"/>
    <s v="Pannes Cleared"/>
    <x v="7"/>
    <x v="0"/>
    <n v="18"/>
    <m/>
    <m/>
    <m/>
    <m/>
    <m/>
    <m/>
    <m/>
    <m/>
    <m/>
    <m/>
    <m/>
    <m/>
    <m/>
    <m/>
    <m/>
    <m/>
    <m/>
    <m/>
    <m/>
    <m/>
    <m/>
    <m/>
    <m/>
    <m/>
    <m/>
    <m/>
    <x v="0"/>
    <n v="18"/>
    <n v="1"/>
    <n v="3.8333333333333335"/>
    <m/>
    <m/>
  </r>
  <r>
    <d v="2008-06-08T00:00:00"/>
    <s v="Boomerang"/>
    <n v="2.16"/>
    <x v="2"/>
    <s v="Pannes Cleared"/>
    <x v="7"/>
    <x v="0"/>
    <n v="23"/>
    <m/>
    <n v="1"/>
    <n v="3"/>
    <m/>
    <m/>
    <m/>
    <m/>
    <m/>
    <m/>
    <m/>
    <m/>
    <m/>
    <m/>
    <m/>
    <m/>
    <m/>
    <m/>
    <m/>
    <m/>
    <m/>
    <m/>
    <m/>
    <m/>
    <m/>
    <m/>
    <m/>
    <x v="0"/>
    <n v="27"/>
    <n v="3"/>
    <n v="1.8695652173913044"/>
    <m/>
    <m/>
  </r>
  <r>
    <d v="2005-06-08T00:00:00"/>
    <s v="Doughnut Hole"/>
    <n v="2.25"/>
    <x v="2"/>
    <s v="Pannes Cleared"/>
    <x v="7"/>
    <x v="0"/>
    <n v="3"/>
    <m/>
    <m/>
    <m/>
    <m/>
    <m/>
    <m/>
    <m/>
    <m/>
    <m/>
    <m/>
    <n v="1"/>
    <m/>
    <m/>
    <m/>
    <m/>
    <m/>
    <m/>
    <m/>
    <m/>
    <m/>
    <m/>
    <m/>
    <m/>
    <m/>
    <m/>
    <m/>
    <x v="0"/>
    <n v="4"/>
    <n v="2"/>
    <n v="1"/>
    <n v="0.5"/>
    <m/>
  </r>
  <r>
    <d v="2005-06-09T00:00:00"/>
    <s v="Boomerang"/>
    <n v="1.66"/>
    <x v="2"/>
    <s v="Pannes Cleared"/>
    <x v="7"/>
    <x v="0"/>
    <n v="89"/>
    <m/>
    <n v="4"/>
    <n v="1"/>
    <m/>
    <m/>
    <m/>
    <m/>
    <m/>
    <m/>
    <m/>
    <m/>
    <m/>
    <m/>
    <m/>
    <m/>
    <m/>
    <m/>
    <m/>
    <m/>
    <m/>
    <m/>
    <m/>
    <m/>
    <m/>
    <m/>
    <m/>
    <x v="0"/>
    <n v="94"/>
    <n v="3"/>
    <n v="3.1460674157303372"/>
    <m/>
    <m/>
  </r>
  <r>
    <d v="2005-06-09T00:00:00"/>
    <s v="Boomerang"/>
    <n v="2.25"/>
    <x v="2"/>
    <s v="Pannes Cleared"/>
    <x v="7"/>
    <x v="0"/>
    <n v="73"/>
    <m/>
    <m/>
    <m/>
    <m/>
    <m/>
    <m/>
    <m/>
    <m/>
    <m/>
    <m/>
    <n v="2"/>
    <m/>
    <m/>
    <m/>
    <m/>
    <m/>
    <m/>
    <m/>
    <m/>
    <m/>
    <m/>
    <m/>
    <m/>
    <m/>
    <m/>
    <m/>
    <x v="0"/>
    <n v="75"/>
    <n v="2"/>
    <n v="2.7397260273972601"/>
    <m/>
    <m/>
  </r>
  <r>
    <d v="2005-06-09T00:00:00"/>
    <s v="Doughnut Hole"/>
    <n v="2.25"/>
    <x v="2"/>
    <s v="Pannes Cleared"/>
    <x v="7"/>
    <x v="0"/>
    <m/>
    <m/>
    <m/>
    <m/>
    <m/>
    <m/>
    <m/>
    <m/>
    <m/>
    <m/>
    <m/>
    <m/>
    <m/>
    <m/>
    <m/>
    <m/>
    <m/>
    <m/>
    <m/>
    <m/>
    <m/>
    <m/>
    <m/>
    <m/>
    <m/>
    <m/>
    <m/>
    <x v="0"/>
    <n v="0"/>
    <n v="0"/>
    <m/>
    <m/>
    <m/>
  </r>
  <r>
    <d v="2005-06-09T00:00:00"/>
    <s v="Boomerang"/>
    <n v="1.5"/>
    <x v="2"/>
    <s v="Pannes Cleared"/>
    <x v="7"/>
    <x v="0"/>
    <m/>
    <m/>
    <m/>
    <m/>
    <m/>
    <m/>
    <m/>
    <m/>
    <m/>
    <m/>
    <m/>
    <m/>
    <m/>
    <m/>
    <m/>
    <m/>
    <m/>
    <m/>
    <m/>
    <m/>
    <m/>
    <m/>
    <m/>
    <m/>
    <m/>
    <m/>
    <m/>
    <x v="0"/>
    <n v="0"/>
    <n v="0"/>
    <m/>
    <m/>
    <m/>
  </r>
  <r>
    <d v="2005-06-09T00:00:00"/>
    <s v="Doughnut Hole"/>
    <n v="1.5"/>
    <x v="2"/>
    <s v="Pannes Cleared"/>
    <x v="7"/>
    <x v="0"/>
    <m/>
    <m/>
    <m/>
    <m/>
    <m/>
    <m/>
    <m/>
    <m/>
    <m/>
    <m/>
    <m/>
    <m/>
    <m/>
    <m/>
    <m/>
    <m/>
    <m/>
    <m/>
    <m/>
    <m/>
    <m/>
    <m/>
    <m/>
    <m/>
    <m/>
    <m/>
    <m/>
    <x v="0"/>
    <n v="0"/>
    <n v="0"/>
    <m/>
    <m/>
    <m/>
  </r>
  <r>
    <d v="2005-10-11T00:00:00"/>
    <s v="Trap 2.5"/>
    <n v="20"/>
    <x v="0"/>
    <s v="Reference"/>
    <x v="7"/>
    <x v="1"/>
    <n v="229"/>
    <m/>
    <m/>
    <m/>
    <m/>
    <m/>
    <m/>
    <m/>
    <m/>
    <m/>
    <m/>
    <m/>
    <m/>
    <m/>
    <m/>
    <m/>
    <m/>
    <m/>
    <m/>
    <m/>
    <m/>
    <m/>
    <m/>
    <m/>
    <m/>
    <n v="1"/>
    <m/>
    <x v="0"/>
    <n v="230"/>
    <n v="2"/>
    <n v="1.6"/>
    <m/>
    <m/>
  </r>
  <r>
    <d v="2005-10-11T00:00:00"/>
    <s v="Trap 3"/>
    <n v="20"/>
    <x v="1"/>
    <s v="Restricted"/>
    <x v="7"/>
    <x v="1"/>
    <m/>
    <m/>
    <m/>
    <m/>
    <m/>
    <m/>
    <m/>
    <m/>
    <m/>
    <m/>
    <m/>
    <m/>
    <m/>
    <m/>
    <m/>
    <m/>
    <m/>
    <m/>
    <m/>
    <m/>
    <m/>
    <m/>
    <m/>
    <m/>
    <m/>
    <m/>
    <m/>
    <x v="0"/>
    <n v="0"/>
    <n v="0"/>
    <m/>
    <m/>
    <m/>
  </r>
  <r>
    <d v="2005-10-11T00:00:00"/>
    <s v="Boomerang"/>
    <n v="20"/>
    <x v="2"/>
    <s v="Pannes Cleared"/>
    <x v="7"/>
    <x v="1"/>
    <n v="324"/>
    <m/>
    <m/>
    <m/>
    <m/>
    <m/>
    <m/>
    <m/>
    <m/>
    <m/>
    <m/>
    <m/>
    <m/>
    <m/>
    <m/>
    <m/>
    <m/>
    <m/>
    <m/>
    <m/>
    <m/>
    <m/>
    <m/>
    <m/>
    <m/>
    <m/>
    <m/>
    <x v="0"/>
    <n v="324"/>
    <n v="1"/>
    <n v="1.7"/>
    <m/>
    <m/>
  </r>
  <r>
    <d v="2005-10-11T00:00:00"/>
    <s v="Doughnut Hole"/>
    <n v="20"/>
    <x v="2"/>
    <s v="Pannes Cleared"/>
    <x v="7"/>
    <x v="1"/>
    <n v="428"/>
    <m/>
    <m/>
    <m/>
    <m/>
    <m/>
    <m/>
    <m/>
    <m/>
    <m/>
    <m/>
    <m/>
    <m/>
    <m/>
    <m/>
    <m/>
    <m/>
    <m/>
    <m/>
    <m/>
    <m/>
    <m/>
    <m/>
    <m/>
    <m/>
    <m/>
    <m/>
    <x v="0"/>
    <n v="428"/>
    <n v="1"/>
    <n v="1.5"/>
    <m/>
    <m/>
  </r>
  <r>
    <d v="2005-10-12T00:00:00"/>
    <s v="Trap 2.5"/>
    <n v="24"/>
    <x v="0"/>
    <s v="Reference"/>
    <x v="7"/>
    <x v="1"/>
    <n v="12"/>
    <m/>
    <m/>
    <m/>
    <m/>
    <m/>
    <m/>
    <m/>
    <m/>
    <m/>
    <m/>
    <m/>
    <m/>
    <m/>
    <m/>
    <m/>
    <m/>
    <m/>
    <m/>
    <m/>
    <m/>
    <m/>
    <m/>
    <m/>
    <m/>
    <m/>
    <m/>
    <x v="0"/>
    <n v="102"/>
    <n v="1"/>
    <n v="1.6"/>
    <m/>
    <m/>
  </r>
  <r>
    <d v="2005-10-12T00:00:00"/>
    <s v="Trap 3"/>
    <n v="24"/>
    <x v="1"/>
    <s v="Restricted"/>
    <x v="7"/>
    <x v="1"/>
    <m/>
    <m/>
    <m/>
    <m/>
    <m/>
    <m/>
    <m/>
    <m/>
    <m/>
    <m/>
    <m/>
    <m/>
    <m/>
    <m/>
    <m/>
    <m/>
    <m/>
    <m/>
    <m/>
    <m/>
    <m/>
    <m/>
    <m/>
    <m/>
    <m/>
    <m/>
    <m/>
    <x v="0"/>
    <n v="0"/>
    <n v="0"/>
    <m/>
    <m/>
    <m/>
  </r>
  <r>
    <d v="2005-10-12T00:00:00"/>
    <s v="Boomerang"/>
    <n v="24"/>
    <x v="2"/>
    <s v="Pannes Cleared"/>
    <x v="7"/>
    <x v="1"/>
    <n v="195"/>
    <m/>
    <m/>
    <m/>
    <m/>
    <m/>
    <m/>
    <m/>
    <m/>
    <m/>
    <m/>
    <m/>
    <m/>
    <m/>
    <m/>
    <m/>
    <m/>
    <m/>
    <m/>
    <m/>
    <m/>
    <m/>
    <m/>
    <m/>
    <m/>
    <m/>
    <m/>
    <x v="0"/>
    <n v="195"/>
    <n v="1"/>
    <n v="2.17"/>
    <m/>
    <m/>
  </r>
  <r>
    <d v="2005-10-12T00:00:00"/>
    <s v="Doughnut Hole"/>
    <n v="24"/>
    <x v="2"/>
    <s v="Pannes Cleared"/>
    <x v="7"/>
    <x v="1"/>
    <n v="438"/>
    <m/>
    <m/>
    <m/>
    <m/>
    <m/>
    <m/>
    <m/>
    <m/>
    <m/>
    <m/>
    <m/>
    <m/>
    <m/>
    <m/>
    <m/>
    <m/>
    <m/>
    <m/>
    <m/>
    <m/>
    <m/>
    <m/>
    <m/>
    <m/>
    <m/>
    <m/>
    <x v="0"/>
    <n v="438"/>
    <n v="1"/>
    <n v="0.9"/>
    <m/>
    <m/>
  </r>
  <r>
    <d v="2005-10-13T00:00:00"/>
    <s v="Trap 2.5"/>
    <n v="23.5"/>
    <x v="0"/>
    <s v="Reference"/>
    <x v="7"/>
    <x v="1"/>
    <n v="12"/>
    <m/>
    <m/>
    <m/>
    <m/>
    <m/>
    <m/>
    <m/>
    <m/>
    <m/>
    <n v="2"/>
    <m/>
    <m/>
    <m/>
    <m/>
    <m/>
    <m/>
    <m/>
    <m/>
    <m/>
    <m/>
    <m/>
    <m/>
    <m/>
    <m/>
    <m/>
    <m/>
    <x v="0"/>
    <n v="14"/>
    <n v="2"/>
    <n v="2.1"/>
    <m/>
    <m/>
  </r>
  <r>
    <d v="2005-10-13T00:00:00"/>
    <s v="Trap 3"/>
    <n v="23.5"/>
    <x v="1"/>
    <s v="Restricted"/>
    <x v="7"/>
    <x v="1"/>
    <n v="81"/>
    <m/>
    <m/>
    <m/>
    <m/>
    <m/>
    <m/>
    <m/>
    <m/>
    <m/>
    <n v="2"/>
    <m/>
    <m/>
    <m/>
    <m/>
    <m/>
    <m/>
    <m/>
    <m/>
    <m/>
    <m/>
    <m/>
    <m/>
    <m/>
    <m/>
    <m/>
    <m/>
    <x v="0"/>
    <n v="83"/>
    <n v="2"/>
    <n v="1.5"/>
    <m/>
    <m/>
  </r>
  <r>
    <d v="2005-10-13T00:00:00"/>
    <s v="Boomerang"/>
    <n v="23.5"/>
    <x v="2"/>
    <s v="Pannes Cleared"/>
    <x v="7"/>
    <x v="1"/>
    <n v="34"/>
    <m/>
    <m/>
    <m/>
    <m/>
    <m/>
    <m/>
    <m/>
    <m/>
    <m/>
    <m/>
    <m/>
    <m/>
    <m/>
    <m/>
    <m/>
    <m/>
    <m/>
    <m/>
    <m/>
    <m/>
    <m/>
    <m/>
    <m/>
    <m/>
    <m/>
    <m/>
    <x v="0"/>
    <n v="34"/>
    <n v="1"/>
    <n v="1.8"/>
    <m/>
    <m/>
  </r>
  <r>
    <d v="2005-10-13T00:00:00"/>
    <s v="Doughnut Hole"/>
    <n v="23.5"/>
    <x v="2"/>
    <s v="Pannes Cleared"/>
    <x v="7"/>
    <x v="1"/>
    <n v="26"/>
    <m/>
    <m/>
    <m/>
    <m/>
    <m/>
    <m/>
    <m/>
    <m/>
    <m/>
    <m/>
    <m/>
    <m/>
    <m/>
    <m/>
    <m/>
    <m/>
    <m/>
    <m/>
    <m/>
    <m/>
    <m/>
    <m/>
    <m/>
    <m/>
    <m/>
    <m/>
    <x v="0"/>
    <n v="260"/>
    <n v="1"/>
    <n v="1.7"/>
    <m/>
    <m/>
  </r>
  <r>
    <d v="2005-10-18T00:00:00"/>
    <s v="Trap 2.5"/>
    <n v="18"/>
    <x v="0"/>
    <s v="Reference"/>
    <x v="7"/>
    <x v="1"/>
    <n v="71"/>
    <m/>
    <m/>
    <m/>
    <m/>
    <m/>
    <m/>
    <m/>
    <m/>
    <m/>
    <m/>
    <m/>
    <m/>
    <m/>
    <m/>
    <m/>
    <m/>
    <m/>
    <m/>
    <m/>
    <m/>
    <m/>
    <m/>
    <m/>
    <m/>
    <m/>
    <m/>
    <x v="0"/>
    <n v="71"/>
    <n v="1"/>
    <n v="2"/>
    <m/>
    <m/>
  </r>
  <r>
    <d v="2005-10-18T00:00:00"/>
    <s v="Trap 3"/>
    <n v="18"/>
    <x v="1"/>
    <s v="Restricted"/>
    <x v="7"/>
    <x v="1"/>
    <n v="43"/>
    <m/>
    <m/>
    <m/>
    <m/>
    <m/>
    <m/>
    <m/>
    <m/>
    <m/>
    <m/>
    <m/>
    <m/>
    <m/>
    <m/>
    <m/>
    <m/>
    <m/>
    <m/>
    <m/>
    <m/>
    <m/>
    <m/>
    <m/>
    <m/>
    <m/>
    <m/>
    <x v="0"/>
    <n v="43"/>
    <n v="1"/>
    <n v="2.2999999999999998"/>
    <m/>
    <m/>
  </r>
  <r>
    <d v="2005-10-18T00:00:00"/>
    <s v="Boomerang"/>
    <n v="18"/>
    <x v="2"/>
    <s v="Pannes Cleared"/>
    <x v="7"/>
    <x v="1"/>
    <n v="186"/>
    <m/>
    <m/>
    <m/>
    <m/>
    <m/>
    <m/>
    <m/>
    <m/>
    <m/>
    <m/>
    <m/>
    <m/>
    <m/>
    <m/>
    <m/>
    <m/>
    <m/>
    <m/>
    <m/>
    <m/>
    <m/>
    <m/>
    <m/>
    <m/>
    <m/>
    <m/>
    <x v="0"/>
    <n v="186"/>
    <n v="1"/>
    <m/>
    <m/>
    <m/>
  </r>
  <r>
    <d v="2005-10-18T00:00:00"/>
    <s v="Doughnut Hole"/>
    <n v="18"/>
    <x v="2"/>
    <s v="Pannes Cleared"/>
    <x v="7"/>
    <x v="1"/>
    <n v="297"/>
    <m/>
    <m/>
    <m/>
    <m/>
    <m/>
    <m/>
    <m/>
    <m/>
    <m/>
    <m/>
    <m/>
    <m/>
    <m/>
    <m/>
    <m/>
    <m/>
    <m/>
    <m/>
    <m/>
    <m/>
    <m/>
    <m/>
    <m/>
    <m/>
    <m/>
    <m/>
    <x v="0"/>
    <n v="297"/>
    <n v="1"/>
    <n v="2.7"/>
    <m/>
    <m/>
  </r>
  <r>
    <d v="2005-10-19T00:00:00"/>
    <s v="Trap 2.5"/>
    <n v="24"/>
    <x v="0"/>
    <s v="Reference"/>
    <x v="7"/>
    <x v="1"/>
    <n v="116"/>
    <m/>
    <m/>
    <m/>
    <m/>
    <m/>
    <m/>
    <m/>
    <m/>
    <m/>
    <m/>
    <m/>
    <m/>
    <m/>
    <m/>
    <m/>
    <m/>
    <m/>
    <m/>
    <m/>
    <m/>
    <m/>
    <m/>
    <m/>
    <m/>
    <m/>
    <m/>
    <x v="0"/>
    <n v="116"/>
    <n v="1"/>
    <n v="2.2000000000000002"/>
    <m/>
    <m/>
  </r>
  <r>
    <d v="2005-10-19T00:00:00"/>
    <s v="Trap 3"/>
    <n v="24"/>
    <x v="1"/>
    <s v="Restricted"/>
    <x v="7"/>
    <x v="1"/>
    <n v="15"/>
    <m/>
    <m/>
    <m/>
    <m/>
    <m/>
    <m/>
    <m/>
    <m/>
    <m/>
    <m/>
    <m/>
    <m/>
    <m/>
    <m/>
    <m/>
    <m/>
    <m/>
    <m/>
    <m/>
    <m/>
    <m/>
    <m/>
    <m/>
    <m/>
    <m/>
    <m/>
    <x v="0"/>
    <n v="105"/>
    <n v="1"/>
    <n v="1.9"/>
    <m/>
    <m/>
  </r>
  <r>
    <d v="2005-10-19T00:00:00"/>
    <s v="Boomerang"/>
    <n v="24"/>
    <x v="2"/>
    <s v="Pannes Cleared"/>
    <x v="7"/>
    <x v="1"/>
    <n v="25"/>
    <m/>
    <m/>
    <m/>
    <m/>
    <m/>
    <m/>
    <m/>
    <m/>
    <m/>
    <m/>
    <m/>
    <m/>
    <m/>
    <m/>
    <m/>
    <m/>
    <m/>
    <m/>
    <m/>
    <m/>
    <m/>
    <m/>
    <m/>
    <m/>
    <m/>
    <m/>
    <x v="0"/>
    <n v="250"/>
    <n v="1"/>
    <n v="2.5"/>
    <m/>
    <m/>
  </r>
  <r>
    <d v="2005-10-19T00:00:00"/>
    <s v="Doughnut Hole"/>
    <n v="24"/>
    <x v="2"/>
    <s v="Pannes Cleared"/>
    <x v="7"/>
    <x v="1"/>
    <n v="271"/>
    <m/>
    <m/>
    <m/>
    <m/>
    <m/>
    <m/>
    <m/>
    <m/>
    <m/>
    <m/>
    <m/>
    <m/>
    <m/>
    <m/>
    <m/>
    <m/>
    <m/>
    <m/>
    <m/>
    <m/>
    <m/>
    <m/>
    <m/>
    <m/>
    <m/>
    <m/>
    <x v="0"/>
    <n v="271"/>
    <n v="1"/>
    <n v="2.4"/>
    <m/>
    <m/>
  </r>
  <r>
    <d v="2006-08-31T00:00:00"/>
    <s v="Jelly Bean"/>
    <n v="2.5"/>
    <x v="3"/>
    <s v="Pannes Cleared"/>
    <x v="8"/>
    <x v="2"/>
    <m/>
    <m/>
    <m/>
    <m/>
    <m/>
    <m/>
    <m/>
    <m/>
    <m/>
    <m/>
    <m/>
    <m/>
    <m/>
    <m/>
    <m/>
    <m/>
    <m/>
    <m/>
    <m/>
    <m/>
    <m/>
    <m/>
    <m/>
    <m/>
    <m/>
    <m/>
    <m/>
    <x v="0"/>
    <n v="0"/>
    <m/>
    <m/>
    <m/>
    <m/>
  </r>
  <r>
    <d v="2006-10-02T00:00:00"/>
    <s v="Trap 2.5"/>
    <n v="18"/>
    <x v="0"/>
    <s v="Reference"/>
    <x v="8"/>
    <x v="1"/>
    <n v="72"/>
    <m/>
    <m/>
    <m/>
    <m/>
    <m/>
    <m/>
    <m/>
    <m/>
    <m/>
    <m/>
    <m/>
    <m/>
    <m/>
    <m/>
    <m/>
    <m/>
    <m/>
    <m/>
    <m/>
    <m/>
    <m/>
    <m/>
    <m/>
    <m/>
    <m/>
    <m/>
    <x v="0"/>
    <n v="72"/>
    <m/>
    <n v="2.5694444444444446"/>
    <m/>
    <m/>
  </r>
  <r>
    <d v="2006-10-02T00:00:00"/>
    <s v="Divergent"/>
    <n v="18"/>
    <x v="2"/>
    <s v="Pannes Cleared"/>
    <x v="8"/>
    <x v="1"/>
    <n v="172"/>
    <m/>
    <m/>
    <m/>
    <m/>
    <m/>
    <m/>
    <m/>
    <m/>
    <m/>
    <m/>
    <m/>
    <m/>
    <m/>
    <m/>
    <m/>
    <m/>
    <m/>
    <m/>
    <m/>
    <m/>
    <m/>
    <m/>
    <m/>
    <m/>
    <m/>
    <m/>
    <x v="0"/>
    <n v="172"/>
    <m/>
    <n v="2.0639534883720931"/>
    <m/>
    <m/>
  </r>
  <r>
    <d v="2006-10-02T00:00:00"/>
    <s v="Boomerang"/>
    <n v="18"/>
    <x v="2"/>
    <s v="Pannes Cleared"/>
    <x v="8"/>
    <x v="1"/>
    <m/>
    <m/>
    <m/>
    <n v="1"/>
    <m/>
    <m/>
    <m/>
    <m/>
    <m/>
    <m/>
    <m/>
    <m/>
    <m/>
    <m/>
    <m/>
    <m/>
    <m/>
    <m/>
    <m/>
    <m/>
    <m/>
    <m/>
    <m/>
    <m/>
    <m/>
    <m/>
    <m/>
    <x v="0"/>
    <n v="1"/>
    <m/>
    <n v="1"/>
    <m/>
    <m/>
  </r>
  <r>
    <d v="2006-10-02T00:00:00"/>
    <s v="Jelly Bean"/>
    <n v="18"/>
    <x v="3"/>
    <s v="Pannes Cleared"/>
    <x v="8"/>
    <x v="1"/>
    <n v="307"/>
    <m/>
    <m/>
    <m/>
    <m/>
    <m/>
    <m/>
    <m/>
    <m/>
    <m/>
    <m/>
    <m/>
    <m/>
    <m/>
    <m/>
    <m/>
    <m/>
    <m/>
    <m/>
    <m/>
    <m/>
    <m/>
    <m/>
    <m/>
    <m/>
    <m/>
    <m/>
    <x v="0"/>
    <n v="307"/>
    <m/>
    <n v="2.44299674267101"/>
    <m/>
    <m/>
  </r>
  <r>
    <d v="2006-10-10T00:00:00"/>
    <s v="Trap 2.5"/>
    <n v="23"/>
    <x v="0"/>
    <s v="Reference"/>
    <x v="8"/>
    <x v="1"/>
    <n v="39"/>
    <m/>
    <m/>
    <m/>
    <m/>
    <m/>
    <m/>
    <m/>
    <m/>
    <m/>
    <m/>
    <m/>
    <m/>
    <m/>
    <m/>
    <m/>
    <m/>
    <m/>
    <m/>
    <m/>
    <m/>
    <m/>
    <m/>
    <m/>
    <m/>
    <n v="1"/>
    <m/>
    <x v="0"/>
    <n v="40"/>
    <m/>
    <n v="2.9166666666666665"/>
    <m/>
    <m/>
  </r>
  <r>
    <d v="2006-10-10T00:00:00"/>
    <s v="Divergent"/>
    <n v="23"/>
    <x v="2"/>
    <s v="Pannes Cleared"/>
    <x v="8"/>
    <x v="1"/>
    <n v="44"/>
    <m/>
    <m/>
    <m/>
    <m/>
    <m/>
    <m/>
    <m/>
    <m/>
    <m/>
    <m/>
    <m/>
    <m/>
    <m/>
    <m/>
    <m/>
    <m/>
    <m/>
    <m/>
    <m/>
    <m/>
    <m/>
    <m/>
    <m/>
    <m/>
    <m/>
    <m/>
    <x v="0"/>
    <n v="44"/>
    <m/>
    <n v="3.2954545454545454"/>
    <m/>
    <m/>
  </r>
  <r>
    <d v="2006-10-10T00:00:00"/>
    <s v="Boomerang"/>
    <n v="2"/>
    <x v="2"/>
    <s v="Pannes Cleared"/>
    <x v="8"/>
    <x v="1"/>
    <n v="306"/>
    <m/>
    <m/>
    <m/>
    <m/>
    <m/>
    <m/>
    <m/>
    <m/>
    <m/>
    <m/>
    <m/>
    <m/>
    <m/>
    <m/>
    <m/>
    <m/>
    <m/>
    <m/>
    <m/>
    <m/>
    <m/>
    <m/>
    <m/>
    <m/>
    <m/>
    <m/>
    <x v="0"/>
    <n v="306"/>
    <m/>
    <n v="1.9934640522875817"/>
    <m/>
    <m/>
  </r>
  <r>
    <d v="2006-10-10T00:00:00"/>
    <s v="Jelly Bean"/>
    <n v="23"/>
    <x v="3"/>
    <s v="Pannes Cleared"/>
    <x v="8"/>
    <x v="1"/>
    <n v="278"/>
    <m/>
    <m/>
    <m/>
    <m/>
    <m/>
    <m/>
    <m/>
    <m/>
    <m/>
    <m/>
    <m/>
    <m/>
    <m/>
    <m/>
    <m/>
    <m/>
    <m/>
    <m/>
    <m/>
    <m/>
    <m/>
    <m/>
    <m/>
    <m/>
    <m/>
    <m/>
    <x v="0"/>
    <n v="278"/>
    <m/>
    <n v="2.8597122302158273"/>
    <m/>
    <m/>
  </r>
  <r>
    <d v="2006-10-11T00:00:00"/>
    <s v="Trap 2.5"/>
    <n v="24"/>
    <x v="0"/>
    <s v="Reference"/>
    <x v="8"/>
    <x v="1"/>
    <n v="73"/>
    <m/>
    <m/>
    <m/>
    <m/>
    <m/>
    <m/>
    <m/>
    <m/>
    <m/>
    <m/>
    <m/>
    <m/>
    <m/>
    <m/>
    <m/>
    <m/>
    <m/>
    <m/>
    <m/>
    <m/>
    <m/>
    <m/>
    <m/>
    <n v="1"/>
    <m/>
    <m/>
    <x v="0"/>
    <n v="74"/>
    <m/>
    <n v="1.9178082191780821"/>
    <m/>
    <m/>
  </r>
  <r>
    <d v="2006-10-11T00:00:00"/>
    <s v="Divergent"/>
    <n v="24"/>
    <x v="2"/>
    <s v="Pannes Cleared"/>
    <x v="8"/>
    <x v="1"/>
    <n v="46"/>
    <m/>
    <m/>
    <m/>
    <m/>
    <m/>
    <m/>
    <m/>
    <m/>
    <m/>
    <m/>
    <m/>
    <m/>
    <m/>
    <m/>
    <m/>
    <m/>
    <m/>
    <m/>
    <m/>
    <m/>
    <m/>
    <m/>
    <m/>
    <m/>
    <m/>
    <m/>
    <x v="0"/>
    <n v="46"/>
    <m/>
    <n v="3.8043478260869565"/>
    <m/>
    <m/>
  </r>
  <r>
    <d v="2006-10-11T00:00:00"/>
    <s v="Boomerang"/>
    <n v="22"/>
    <x v="2"/>
    <s v="Pannes Cleared"/>
    <x v="8"/>
    <x v="1"/>
    <n v="328"/>
    <m/>
    <m/>
    <m/>
    <m/>
    <m/>
    <m/>
    <m/>
    <m/>
    <m/>
    <m/>
    <m/>
    <m/>
    <m/>
    <m/>
    <m/>
    <m/>
    <m/>
    <m/>
    <m/>
    <m/>
    <m/>
    <m/>
    <m/>
    <m/>
    <m/>
    <m/>
    <x v="0"/>
    <n v="328"/>
    <m/>
    <n v="2.0731707317073171"/>
    <m/>
    <m/>
  </r>
  <r>
    <d v="2006-10-11T00:00:00"/>
    <s v="Jelly Bean"/>
    <n v="24"/>
    <x v="3"/>
    <s v="Pannes Cleared"/>
    <x v="8"/>
    <x v="1"/>
    <n v="339"/>
    <m/>
    <m/>
    <m/>
    <m/>
    <m/>
    <m/>
    <m/>
    <m/>
    <m/>
    <m/>
    <m/>
    <m/>
    <m/>
    <m/>
    <m/>
    <m/>
    <m/>
    <m/>
    <m/>
    <m/>
    <m/>
    <m/>
    <m/>
    <m/>
    <m/>
    <m/>
    <x v="0"/>
    <n v="339"/>
    <m/>
    <n v="2.5073746312684366"/>
    <m/>
    <m/>
  </r>
  <r>
    <d v="2006-10-13T00:00:00"/>
    <s v="Trap 2"/>
    <n v="22"/>
    <x v="0"/>
    <s v="Reference"/>
    <x v="8"/>
    <x v="1"/>
    <n v="404"/>
    <m/>
    <m/>
    <m/>
    <m/>
    <m/>
    <m/>
    <m/>
    <m/>
    <m/>
    <m/>
    <m/>
    <m/>
    <m/>
    <m/>
    <m/>
    <m/>
    <n v="2"/>
    <m/>
    <m/>
    <m/>
    <m/>
    <m/>
    <m/>
    <m/>
    <m/>
    <m/>
    <x v="0"/>
    <n v="406"/>
    <m/>
    <n v="2.9257425742574257"/>
    <m/>
    <m/>
  </r>
  <r>
    <d v="2006-10-13T00:00:00"/>
    <s v="Divergent"/>
    <n v="22"/>
    <x v="2"/>
    <s v="Pannes Cleared"/>
    <x v="8"/>
    <x v="1"/>
    <n v="34"/>
    <m/>
    <m/>
    <m/>
    <m/>
    <m/>
    <m/>
    <m/>
    <m/>
    <m/>
    <m/>
    <m/>
    <m/>
    <m/>
    <m/>
    <m/>
    <m/>
    <m/>
    <m/>
    <m/>
    <m/>
    <m/>
    <m/>
    <m/>
    <m/>
    <m/>
    <m/>
    <x v="0"/>
    <n v="34"/>
    <m/>
    <n v="2.9411764705882355"/>
    <m/>
    <m/>
  </r>
  <r>
    <d v="2006-10-13T00:00:00"/>
    <s v="Boomerang"/>
    <n v="22"/>
    <x v="2"/>
    <s v="Pannes Cleared"/>
    <x v="8"/>
    <x v="1"/>
    <m/>
    <m/>
    <m/>
    <m/>
    <m/>
    <m/>
    <m/>
    <m/>
    <m/>
    <m/>
    <m/>
    <m/>
    <m/>
    <m/>
    <m/>
    <m/>
    <m/>
    <m/>
    <m/>
    <m/>
    <m/>
    <m/>
    <m/>
    <m/>
    <m/>
    <m/>
    <m/>
    <x v="0"/>
    <n v="0"/>
    <m/>
    <m/>
    <m/>
    <m/>
  </r>
  <r>
    <d v="2006-10-13T00:00:00"/>
    <s v="Jelly Bean"/>
    <n v="22"/>
    <x v="3"/>
    <s v="Pannes Cleared"/>
    <x v="8"/>
    <x v="1"/>
    <n v="209"/>
    <m/>
    <m/>
    <m/>
    <m/>
    <m/>
    <m/>
    <m/>
    <m/>
    <m/>
    <m/>
    <m/>
    <m/>
    <m/>
    <m/>
    <m/>
    <m/>
    <m/>
    <m/>
    <m/>
    <m/>
    <m/>
    <m/>
    <m/>
    <m/>
    <m/>
    <m/>
    <x v="0"/>
    <n v="209"/>
    <m/>
    <n v="2.8708133971291865"/>
    <m/>
    <m/>
  </r>
  <r>
    <d v="2007-10-02T00:00:00"/>
    <s v="Trap 1"/>
    <n v="24"/>
    <x v="0"/>
    <s v="Reference"/>
    <x v="9"/>
    <x v="1"/>
    <n v="97"/>
    <m/>
    <m/>
    <m/>
    <m/>
    <m/>
    <m/>
    <m/>
    <m/>
    <m/>
    <m/>
    <m/>
    <m/>
    <m/>
    <n v="1"/>
    <m/>
    <m/>
    <m/>
    <m/>
    <m/>
    <m/>
    <m/>
    <m/>
    <m/>
    <m/>
    <m/>
    <m/>
    <x v="0"/>
    <n v="98"/>
    <n v="2"/>
    <n v="2.5773195876288661"/>
    <m/>
    <m/>
  </r>
  <r>
    <d v="2007-10-02T00:00:00"/>
    <s v="Trap 3"/>
    <n v="24"/>
    <x v="1"/>
    <s v="Restricted"/>
    <x v="9"/>
    <x v="1"/>
    <n v="1"/>
    <m/>
    <m/>
    <m/>
    <m/>
    <m/>
    <m/>
    <m/>
    <m/>
    <m/>
    <m/>
    <m/>
    <m/>
    <m/>
    <m/>
    <m/>
    <m/>
    <m/>
    <m/>
    <m/>
    <m/>
    <m/>
    <m/>
    <m/>
    <m/>
    <m/>
    <m/>
    <x v="0"/>
    <n v="1"/>
    <n v="1"/>
    <n v="2.5"/>
    <m/>
    <m/>
  </r>
  <r>
    <d v="2007-10-02T00:00:00"/>
    <s v="Boomerang"/>
    <n v="24"/>
    <x v="2"/>
    <s v="Wrack Left Year 1"/>
    <x v="9"/>
    <x v="1"/>
    <n v="112"/>
    <m/>
    <m/>
    <m/>
    <m/>
    <m/>
    <m/>
    <m/>
    <m/>
    <m/>
    <m/>
    <m/>
    <m/>
    <m/>
    <m/>
    <m/>
    <m/>
    <m/>
    <m/>
    <m/>
    <m/>
    <m/>
    <m/>
    <m/>
    <m/>
    <m/>
    <m/>
    <x v="0"/>
    <n v="112"/>
    <n v="1"/>
    <n v="2.4553571428571428"/>
    <m/>
    <m/>
  </r>
  <r>
    <d v="2007-10-02T00:00:00"/>
    <s v="Doughnut Hole"/>
    <n v="24"/>
    <x v="2"/>
    <s v="Wrack Left Year 1"/>
    <x v="9"/>
    <x v="1"/>
    <n v="133"/>
    <m/>
    <m/>
    <m/>
    <m/>
    <m/>
    <m/>
    <m/>
    <m/>
    <m/>
    <m/>
    <m/>
    <m/>
    <m/>
    <m/>
    <m/>
    <m/>
    <n v="1"/>
    <m/>
    <m/>
    <m/>
    <m/>
    <m/>
    <m/>
    <m/>
    <m/>
    <m/>
    <x v="0"/>
    <n v="134"/>
    <n v="2"/>
    <n v="3.1578947368421053"/>
    <m/>
    <m/>
  </r>
  <r>
    <d v="2007-10-03T00:00:00"/>
    <s v="Trap 1"/>
    <n v="24"/>
    <x v="0"/>
    <s v="Reference"/>
    <x v="9"/>
    <x v="1"/>
    <n v="96"/>
    <m/>
    <m/>
    <m/>
    <m/>
    <m/>
    <m/>
    <m/>
    <m/>
    <m/>
    <m/>
    <m/>
    <m/>
    <m/>
    <m/>
    <m/>
    <m/>
    <m/>
    <m/>
    <m/>
    <m/>
    <m/>
    <m/>
    <m/>
    <m/>
    <m/>
    <m/>
    <x v="0"/>
    <n v="96"/>
    <n v="1"/>
    <n v="2.1354166666666665"/>
    <m/>
    <m/>
  </r>
  <r>
    <d v="2007-10-03T00:00:00"/>
    <s v="Trap 3"/>
    <n v="24"/>
    <x v="1"/>
    <s v="Restricted"/>
    <x v="9"/>
    <x v="1"/>
    <m/>
    <m/>
    <m/>
    <m/>
    <m/>
    <m/>
    <m/>
    <m/>
    <m/>
    <m/>
    <m/>
    <m/>
    <m/>
    <m/>
    <m/>
    <m/>
    <m/>
    <m/>
    <m/>
    <m/>
    <m/>
    <m/>
    <m/>
    <m/>
    <m/>
    <m/>
    <m/>
    <x v="0"/>
    <n v="0"/>
    <n v="0"/>
    <m/>
    <m/>
    <m/>
  </r>
  <r>
    <d v="2007-10-03T00:00:00"/>
    <s v="Boomerang"/>
    <n v="24"/>
    <x v="2"/>
    <s v="Wrack Left Year 1"/>
    <x v="9"/>
    <x v="1"/>
    <n v="88"/>
    <m/>
    <m/>
    <m/>
    <m/>
    <m/>
    <m/>
    <m/>
    <m/>
    <m/>
    <m/>
    <m/>
    <m/>
    <m/>
    <m/>
    <m/>
    <m/>
    <m/>
    <m/>
    <m/>
    <m/>
    <m/>
    <m/>
    <m/>
    <m/>
    <m/>
    <m/>
    <x v="0"/>
    <n v="88"/>
    <n v="1"/>
    <n v="1.6477272727272727"/>
    <m/>
    <m/>
  </r>
  <r>
    <d v="2007-10-03T00:00:00"/>
    <s v="Doughnut Hole"/>
    <n v="24"/>
    <x v="2"/>
    <s v="Wrack Left Year 1"/>
    <x v="9"/>
    <x v="1"/>
    <n v="172"/>
    <m/>
    <m/>
    <m/>
    <m/>
    <m/>
    <m/>
    <m/>
    <m/>
    <m/>
    <m/>
    <m/>
    <m/>
    <m/>
    <m/>
    <m/>
    <m/>
    <m/>
    <m/>
    <m/>
    <m/>
    <m/>
    <m/>
    <m/>
    <m/>
    <m/>
    <m/>
    <x v="0"/>
    <n v="172"/>
    <n v="1"/>
    <n v="1.7441860465116279"/>
    <m/>
    <m/>
  </r>
  <r>
    <d v="2007-10-05T00:00:00"/>
    <s v="Trap 2"/>
    <n v="24"/>
    <x v="0"/>
    <s v="Wrack Left Year 1"/>
    <x v="9"/>
    <x v="1"/>
    <n v="70"/>
    <m/>
    <m/>
    <m/>
    <m/>
    <m/>
    <m/>
    <m/>
    <m/>
    <m/>
    <m/>
    <n v="1"/>
    <m/>
    <m/>
    <m/>
    <m/>
    <m/>
    <n v="2"/>
    <m/>
    <m/>
    <m/>
    <m/>
    <m/>
    <m/>
    <m/>
    <m/>
    <m/>
    <x v="0"/>
    <n v="73"/>
    <n v="3"/>
    <n v="2.7142857142857144"/>
    <m/>
    <m/>
  </r>
  <r>
    <d v="2007-10-05T00:00:00"/>
    <s v="Trap 3"/>
    <n v="24"/>
    <x v="1"/>
    <s v="Restricted"/>
    <x v="9"/>
    <x v="1"/>
    <m/>
    <m/>
    <m/>
    <m/>
    <m/>
    <m/>
    <m/>
    <m/>
    <m/>
    <m/>
    <m/>
    <m/>
    <m/>
    <m/>
    <m/>
    <m/>
    <m/>
    <m/>
    <m/>
    <m/>
    <m/>
    <m/>
    <m/>
    <m/>
    <m/>
    <m/>
    <m/>
    <x v="0"/>
    <n v="0"/>
    <n v="0"/>
    <m/>
    <m/>
    <m/>
  </r>
  <r>
    <d v="2007-10-05T00:00:00"/>
    <s v="Boomerang"/>
    <n v="24"/>
    <x v="2"/>
    <s v="Wrack Left Year 1"/>
    <x v="9"/>
    <x v="1"/>
    <m/>
    <m/>
    <m/>
    <m/>
    <m/>
    <m/>
    <m/>
    <m/>
    <m/>
    <m/>
    <m/>
    <m/>
    <m/>
    <m/>
    <m/>
    <m/>
    <m/>
    <m/>
    <m/>
    <m/>
    <m/>
    <m/>
    <m/>
    <m/>
    <m/>
    <m/>
    <m/>
    <x v="0"/>
    <n v="0"/>
    <n v="0"/>
    <m/>
    <m/>
    <m/>
  </r>
  <r>
    <d v="2007-10-05T00:00:00"/>
    <s v="Doughnut Hole"/>
    <n v="24"/>
    <x v="2"/>
    <s v="Wrack Left Year 1"/>
    <x v="9"/>
    <x v="1"/>
    <n v="8"/>
    <m/>
    <m/>
    <m/>
    <m/>
    <m/>
    <m/>
    <m/>
    <m/>
    <m/>
    <m/>
    <m/>
    <m/>
    <m/>
    <m/>
    <m/>
    <m/>
    <n v="1"/>
    <m/>
    <m/>
    <m/>
    <m/>
    <m/>
    <m/>
    <m/>
    <m/>
    <m/>
    <x v="0"/>
    <n v="9"/>
    <n v="2"/>
    <n v="1.875"/>
    <m/>
    <m/>
  </r>
  <r>
    <d v="2008-10-06T00:00:00"/>
    <s v="Trap 2"/>
    <n v="21"/>
    <x v="0"/>
    <s v="Reference"/>
    <x v="10"/>
    <x v="1"/>
    <n v="116"/>
    <m/>
    <m/>
    <m/>
    <m/>
    <m/>
    <m/>
    <m/>
    <m/>
    <m/>
    <m/>
    <m/>
    <m/>
    <m/>
    <m/>
    <m/>
    <m/>
    <m/>
    <m/>
    <m/>
    <m/>
    <m/>
    <m/>
    <m/>
    <m/>
    <m/>
    <m/>
    <x v="0"/>
    <n v="116"/>
    <n v="1"/>
    <n v="1.5517241379310345"/>
    <m/>
    <m/>
  </r>
  <r>
    <d v="2008-10-06T00:00:00"/>
    <s v="Trap 3"/>
    <n v="21"/>
    <x v="1"/>
    <s v="Restricted"/>
    <x v="10"/>
    <x v="1"/>
    <m/>
    <m/>
    <m/>
    <m/>
    <m/>
    <m/>
    <m/>
    <m/>
    <m/>
    <m/>
    <m/>
    <m/>
    <m/>
    <m/>
    <m/>
    <m/>
    <m/>
    <m/>
    <m/>
    <m/>
    <m/>
    <m/>
    <m/>
    <m/>
    <m/>
    <m/>
    <m/>
    <x v="0"/>
    <n v="0"/>
    <n v="0"/>
    <m/>
    <m/>
    <m/>
  </r>
  <r>
    <d v="2008-10-06T00:00:00"/>
    <s v="Boomerang"/>
    <n v="21"/>
    <x v="2"/>
    <s v="Wrack Left Year 2"/>
    <x v="10"/>
    <x v="1"/>
    <m/>
    <m/>
    <m/>
    <m/>
    <m/>
    <m/>
    <m/>
    <m/>
    <m/>
    <m/>
    <m/>
    <m/>
    <m/>
    <m/>
    <m/>
    <m/>
    <m/>
    <m/>
    <m/>
    <m/>
    <m/>
    <m/>
    <m/>
    <m/>
    <m/>
    <m/>
    <m/>
    <x v="0"/>
    <n v="0"/>
    <n v="0"/>
    <m/>
    <m/>
    <m/>
  </r>
  <r>
    <d v="2008-10-06T00:00:00"/>
    <s v="Divergent"/>
    <n v="21"/>
    <x v="2"/>
    <s v="Wrack Left Year 2"/>
    <x v="10"/>
    <x v="1"/>
    <n v="103"/>
    <m/>
    <m/>
    <m/>
    <m/>
    <m/>
    <m/>
    <m/>
    <m/>
    <m/>
    <m/>
    <m/>
    <m/>
    <m/>
    <m/>
    <m/>
    <m/>
    <m/>
    <m/>
    <m/>
    <m/>
    <m/>
    <m/>
    <m/>
    <m/>
    <m/>
    <m/>
    <x v="0"/>
    <n v="103"/>
    <n v="1"/>
    <n v="1.6504854368932038"/>
    <m/>
    <m/>
  </r>
  <r>
    <d v="2008-10-07T00:00:00"/>
    <s v="Trap 2"/>
    <n v="24.5"/>
    <x v="0"/>
    <s v="Reference"/>
    <x v="10"/>
    <x v="1"/>
    <n v="31"/>
    <m/>
    <m/>
    <m/>
    <m/>
    <m/>
    <m/>
    <m/>
    <m/>
    <m/>
    <m/>
    <m/>
    <m/>
    <m/>
    <m/>
    <m/>
    <m/>
    <m/>
    <m/>
    <m/>
    <m/>
    <m/>
    <m/>
    <m/>
    <m/>
    <m/>
    <m/>
    <x v="0"/>
    <n v="31"/>
    <n v="1"/>
    <n v="1.2903225806451613"/>
    <m/>
    <m/>
  </r>
  <r>
    <d v="2008-10-07T00:00:00"/>
    <s v="Trap 3"/>
    <n v="24.5"/>
    <x v="1"/>
    <s v="Restricted"/>
    <x v="10"/>
    <x v="1"/>
    <m/>
    <m/>
    <m/>
    <m/>
    <m/>
    <m/>
    <m/>
    <m/>
    <m/>
    <m/>
    <m/>
    <m/>
    <m/>
    <m/>
    <m/>
    <m/>
    <m/>
    <m/>
    <m/>
    <m/>
    <m/>
    <m/>
    <m/>
    <m/>
    <m/>
    <m/>
    <m/>
    <x v="0"/>
    <n v="0"/>
    <n v="0"/>
    <m/>
    <m/>
    <m/>
  </r>
  <r>
    <d v="2008-10-07T00:00:00"/>
    <s v="Boomerang"/>
    <n v="24.5"/>
    <x v="2"/>
    <s v="Wrack Left Year 2"/>
    <x v="10"/>
    <x v="1"/>
    <m/>
    <m/>
    <m/>
    <m/>
    <m/>
    <m/>
    <m/>
    <m/>
    <m/>
    <m/>
    <m/>
    <m/>
    <m/>
    <m/>
    <m/>
    <m/>
    <m/>
    <m/>
    <m/>
    <m/>
    <m/>
    <m/>
    <m/>
    <m/>
    <m/>
    <m/>
    <m/>
    <x v="0"/>
    <n v="0"/>
    <n v="0"/>
    <m/>
    <m/>
    <m/>
  </r>
  <r>
    <d v="2008-10-07T00:00:00"/>
    <s v="Divergent"/>
    <n v="24.5"/>
    <x v="2"/>
    <s v="Wrack Left Year 2"/>
    <x v="10"/>
    <x v="1"/>
    <n v="14"/>
    <m/>
    <m/>
    <m/>
    <m/>
    <m/>
    <m/>
    <m/>
    <m/>
    <m/>
    <m/>
    <m/>
    <m/>
    <m/>
    <m/>
    <m/>
    <m/>
    <m/>
    <m/>
    <m/>
    <m/>
    <m/>
    <m/>
    <m/>
    <m/>
    <m/>
    <m/>
    <x v="0"/>
    <n v="14"/>
    <n v="1"/>
    <n v="1.4285714285714286"/>
    <m/>
    <m/>
  </r>
  <r>
    <d v="2008-10-08T00:00:00"/>
    <s v="Trap 2"/>
    <n v="24"/>
    <x v="0"/>
    <s v="Reference"/>
    <x v="10"/>
    <x v="1"/>
    <n v="53"/>
    <m/>
    <m/>
    <m/>
    <m/>
    <m/>
    <m/>
    <m/>
    <m/>
    <m/>
    <n v="1"/>
    <m/>
    <m/>
    <m/>
    <m/>
    <m/>
    <m/>
    <m/>
    <m/>
    <m/>
    <m/>
    <m/>
    <m/>
    <m/>
    <m/>
    <m/>
    <m/>
    <x v="0"/>
    <n v="54"/>
    <n v="2"/>
    <n v="1.4150943396226414"/>
    <m/>
    <m/>
  </r>
  <r>
    <d v="2008-10-08T00:00:00"/>
    <s v="Trap 3"/>
    <n v="24"/>
    <x v="1"/>
    <s v="Restricted"/>
    <x v="10"/>
    <x v="1"/>
    <m/>
    <m/>
    <m/>
    <m/>
    <m/>
    <m/>
    <m/>
    <m/>
    <m/>
    <m/>
    <m/>
    <m/>
    <m/>
    <m/>
    <m/>
    <m/>
    <m/>
    <m/>
    <m/>
    <m/>
    <m/>
    <m/>
    <m/>
    <m/>
    <m/>
    <m/>
    <m/>
    <x v="1"/>
    <n v="1"/>
    <n v="1"/>
    <m/>
    <m/>
    <m/>
  </r>
  <r>
    <d v="2008-10-08T00:00:00"/>
    <s v="Boomerang"/>
    <n v="24"/>
    <x v="2"/>
    <s v="Wrack Left Year 2"/>
    <x v="10"/>
    <x v="1"/>
    <m/>
    <m/>
    <m/>
    <m/>
    <m/>
    <m/>
    <m/>
    <m/>
    <m/>
    <m/>
    <m/>
    <m/>
    <m/>
    <m/>
    <m/>
    <m/>
    <m/>
    <m/>
    <m/>
    <m/>
    <m/>
    <m/>
    <m/>
    <m/>
    <m/>
    <m/>
    <m/>
    <x v="0"/>
    <n v="0"/>
    <m/>
    <m/>
    <m/>
    <m/>
  </r>
  <r>
    <d v="2008-10-08T00:00:00"/>
    <s v="Divergent"/>
    <n v="24"/>
    <x v="2"/>
    <s v="Wrack Left Year 2"/>
    <x v="10"/>
    <x v="1"/>
    <n v="14"/>
    <m/>
    <m/>
    <m/>
    <m/>
    <m/>
    <m/>
    <m/>
    <m/>
    <m/>
    <m/>
    <m/>
    <m/>
    <m/>
    <m/>
    <m/>
    <m/>
    <m/>
    <m/>
    <m/>
    <m/>
    <m/>
    <m/>
    <m/>
    <m/>
    <m/>
    <m/>
    <x v="0"/>
    <n v="14"/>
    <n v="1"/>
    <n v="1.0714285714285714"/>
    <m/>
    <m/>
  </r>
  <r>
    <d v="2008-10-08T00:00:00"/>
    <s v="Doughnut Hole"/>
    <n v="19.5"/>
    <x v="2"/>
    <s v="Wrack Left Year 2"/>
    <x v="10"/>
    <x v="1"/>
    <m/>
    <m/>
    <m/>
    <n v="1"/>
    <m/>
    <m/>
    <m/>
    <m/>
    <m/>
    <m/>
    <m/>
    <m/>
    <m/>
    <m/>
    <m/>
    <m/>
    <m/>
    <m/>
    <m/>
    <m/>
    <m/>
    <m/>
    <m/>
    <m/>
    <m/>
    <m/>
    <m/>
    <x v="0"/>
    <n v="1"/>
    <n v="1"/>
    <m/>
    <m/>
    <m/>
  </r>
  <r>
    <d v="2008-10-09T00:00:00"/>
    <s v="Trap 2"/>
    <n v="24"/>
    <x v="0"/>
    <s v="Reference"/>
    <x v="10"/>
    <x v="1"/>
    <n v="42"/>
    <m/>
    <m/>
    <m/>
    <m/>
    <m/>
    <m/>
    <m/>
    <m/>
    <m/>
    <m/>
    <m/>
    <m/>
    <m/>
    <m/>
    <m/>
    <m/>
    <m/>
    <m/>
    <m/>
    <m/>
    <m/>
    <m/>
    <m/>
    <m/>
    <m/>
    <m/>
    <x v="0"/>
    <n v="42"/>
    <n v="1"/>
    <n v="1.7857142857142858"/>
    <m/>
    <m/>
  </r>
  <r>
    <d v="2008-10-09T00:00:00"/>
    <s v="Boomerang"/>
    <n v="24"/>
    <x v="2"/>
    <s v="Wrack Left Year 2"/>
    <x v="10"/>
    <x v="1"/>
    <m/>
    <m/>
    <m/>
    <n v="2"/>
    <m/>
    <m/>
    <m/>
    <m/>
    <m/>
    <m/>
    <m/>
    <m/>
    <m/>
    <m/>
    <m/>
    <m/>
    <m/>
    <m/>
    <m/>
    <m/>
    <m/>
    <m/>
    <m/>
    <m/>
    <m/>
    <m/>
    <m/>
    <x v="0"/>
    <n v="2"/>
    <m/>
    <m/>
    <m/>
    <m/>
  </r>
  <r>
    <d v="2008-10-09T00:00:00"/>
    <s v="Divergent"/>
    <n v="24"/>
    <x v="2"/>
    <s v="Wrack Left Year 2"/>
    <x v="10"/>
    <x v="1"/>
    <n v="15"/>
    <m/>
    <m/>
    <s v=" "/>
    <m/>
    <m/>
    <m/>
    <m/>
    <m/>
    <m/>
    <m/>
    <m/>
    <m/>
    <m/>
    <m/>
    <m/>
    <m/>
    <m/>
    <m/>
    <m/>
    <m/>
    <m/>
    <m/>
    <m/>
    <m/>
    <m/>
    <m/>
    <x v="0"/>
    <n v="15"/>
    <n v="1"/>
    <n v="1.6666666666666667"/>
    <m/>
    <m/>
  </r>
  <r>
    <d v="2008-10-09T00:00:00"/>
    <s v="Doughnut Hole"/>
    <n v="24"/>
    <x v="2"/>
    <s v="Wrack Left Year 2"/>
    <x v="10"/>
    <x v="1"/>
    <m/>
    <m/>
    <m/>
    <n v="6"/>
    <m/>
    <m/>
    <m/>
    <m/>
    <m/>
    <m/>
    <m/>
    <m/>
    <m/>
    <m/>
    <m/>
    <m/>
    <m/>
    <m/>
    <m/>
    <m/>
    <m/>
    <m/>
    <m/>
    <m/>
    <n v="2"/>
    <m/>
    <m/>
    <x v="0"/>
    <n v="8"/>
    <n v="2"/>
    <m/>
    <m/>
    <m/>
  </r>
  <r>
    <d v="2008-11-13T00:00:00"/>
    <s v="Trap 2"/>
    <n v="22"/>
    <x v="0"/>
    <s v="Reference"/>
    <x v="10"/>
    <x v="1"/>
    <n v="1"/>
    <m/>
    <m/>
    <m/>
    <m/>
    <m/>
    <m/>
    <m/>
    <m/>
    <m/>
    <m/>
    <m/>
    <m/>
    <m/>
    <m/>
    <m/>
    <m/>
    <m/>
    <m/>
    <m/>
    <m/>
    <m/>
    <m/>
    <m/>
    <m/>
    <m/>
    <m/>
    <x v="0"/>
    <n v="1"/>
    <n v="1"/>
    <n v="2.5"/>
    <m/>
    <m/>
  </r>
  <r>
    <d v="2008-11-13T00:00:00"/>
    <s v="Boomerang"/>
    <n v="20.5"/>
    <x v="2"/>
    <s v="Wrack Left Year 2"/>
    <x v="10"/>
    <x v="1"/>
    <n v="1"/>
    <m/>
    <m/>
    <m/>
    <m/>
    <m/>
    <m/>
    <m/>
    <m/>
    <m/>
    <m/>
    <m/>
    <m/>
    <m/>
    <m/>
    <m/>
    <m/>
    <m/>
    <m/>
    <m/>
    <m/>
    <m/>
    <m/>
    <m/>
    <m/>
    <m/>
    <m/>
    <x v="0"/>
    <n v="1"/>
    <n v="1"/>
    <n v="2"/>
    <m/>
    <m/>
  </r>
  <r>
    <d v="2008-11-13T00:00:00"/>
    <s v="Doughnut Hole"/>
    <n v="1"/>
    <x v="2"/>
    <s v="Wrack Left Year 2"/>
    <x v="10"/>
    <x v="1"/>
    <n v="15"/>
    <m/>
    <m/>
    <m/>
    <m/>
    <m/>
    <m/>
    <m/>
    <m/>
    <m/>
    <m/>
    <m/>
    <m/>
    <m/>
    <m/>
    <m/>
    <m/>
    <m/>
    <m/>
    <m/>
    <m/>
    <m/>
    <m/>
    <m/>
    <m/>
    <m/>
    <m/>
    <x v="0"/>
    <n v="20"/>
    <n v="1"/>
    <n v="1.3333333333333333"/>
    <m/>
    <m/>
  </r>
  <r>
    <d v="2009-10-05T00:00:00"/>
    <s v="Trap 2"/>
    <n v="14.5"/>
    <x v="0"/>
    <s v="Reference"/>
    <x v="11"/>
    <x v="1"/>
    <n v="56"/>
    <m/>
    <m/>
    <m/>
    <m/>
    <m/>
    <m/>
    <m/>
    <m/>
    <m/>
    <m/>
    <m/>
    <m/>
    <m/>
    <m/>
    <m/>
    <m/>
    <n v="1"/>
    <m/>
    <m/>
    <m/>
    <m/>
    <m/>
    <m/>
    <m/>
    <m/>
    <m/>
    <x v="0"/>
    <n v="57"/>
    <n v="2"/>
    <n v="4.375"/>
    <m/>
    <n v="10"/>
  </r>
  <r>
    <d v="2009-10-05T00:00:00"/>
    <s v="Trap 3"/>
    <n v="14.5"/>
    <x v="1"/>
    <s v="Restricted"/>
    <x v="11"/>
    <x v="1"/>
    <m/>
    <m/>
    <m/>
    <m/>
    <m/>
    <m/>
    <m/>
    <m/>
    <m/>
    <m/>
    <m/>
    <m/>
    <m/>
    <m/>
    <m/>
    <m/>
    <m/>
    <m/>
    <m/>
    <m/>
    <m/>
    <m/>
    <m/>
    <m/>
    <m/>
    <m/>
    <m/>
    <x v="0"/>
    <n v="0"/>
    <n v="0"/>
    <m/>
    <m/>
    <m/>
  </r>
  <r>
    <d v="2009-10-05T00:00:00"/>
    <s v="Boomerang"/>
    <n v="14.5"/>
    <x v="2"/>
    <s v="Wrack Left Year 3"/>
    <x v="11"/>
    <x v="1"/>
    <n v="47"/>
    <m/>
    <m/>
    <m/>
    <m/>
    <m/>
    <m/>
    <m/>
    <m/>
    <m/>
    <m/>
    <m/>
    <m/>
    <m/>
    <m/>
    <m/>
    <m/>
    <m/>
    <m/>
    <m/>
    <m/>
    <m/>
    <m/>
    <m/>
    <n v="1"/>
    <m/>
    <m/>
    <x v="0"/>
    <n v="48"/>
    <n v="2"/>
    <n v="2.8085106382978724"/>
    <m/>
    <m/>
  </r>
  <r>
    <d v="2009-10-05T00:00:00"/>
    <s v="Doughnut Hole"/>
    <n v="14.5"/>
    <x v="2"/>
    <s v="Wrack Left Year 3"/>
    <x v="11"/>
    <x v="1"/>
    <n v="196"/>
    <m/>
    <m/>
    <m/>
    <m/>
    <m/>
    <m/>
    <m/>
    <m/>
    <m/>
    <m/>
    <m/>
    <m/>
    <m/>
    <m/>
    <m/>
    <m/>
    <m/>
    <m/>
    <m/>
    <m/>
    <m/>
    <m/>
    <m/>
    <m/>
    <m/>
    <m/>
    <x v="0"/>
    <n v="196"/>
    <n v="1"/>
    <n v="2.0306122448979593"/>
    <m/>
    <m/>
  </r>
  <r>
    <d v="2009-10-06T00:00:00"/>
    <s v="Trap 2"/>
    <n v="24"/>
    <x v="0"/>
    <s v="Reference"/>
    <x v="11"/>
    <x v="1"/>
    <n v="78"/>
    <m/>
    <m/>
    <m/>
    <m/>
    <m/>
    <m/>
    <m/>
    <m/>
    <m/>
    <m/>
    <m/>
    <m/>
    <m/>
    <m/>
    <m/>
    <n v="1"/>
    <n v="3"/>
    <m/>
    <m/>
    <m/>
    <m/>
    <m/>
    <m/>
    <m/>
    <m/>
    <m/>
    <x v="0"/>
    <n v="82"/>
    <n v="3"/>
    <n v="2.6282051282051282"/>
    <m/>
    <n v="11.666666666666666"/>
  </r>
  <r>
    <d v="2009-10-06T00:00:00"/>
    <s v="Trap 3"/>
    <n v="24"/>
    <x v="1"/>
    <s v="Restricted"/>
    <x v="11"/>
    <x v="1"/>
    <n v="60"/>
    <m/>
    <m/>
    <m/>
    <m/>
    <m/>
    <m/>
    <m/>
    <m/>
    <m/>
    <m/>
    <m/>
    <m/>
    <m/>
    <m/>
    <m/>
    <m/>
    <m/>
    <m/>
    <m/>
    <m/>
    <m/>
    <m/>
    <m/>
    <m/>
    <m/>
    <m/>
    <x v="0"/>
    <n v="60"/>
    <n v="1"/>
    <n v="1.9166666666666667"/>
    <m/>
    <m/>
  </r>
  <r>
    <d v="2009-10-06T00:00:00"/>
    <s v="Boomerang"/>
    <n v="24"/>
    <x v="2"/>
    <s v="Wrack Left Year 3"/>
    <x v="11"/>
    <x v="1"/>
    <n v="68"/>
    <m/>
    <m/>
    <m/>
    <m/>
    <m/>
    <m/>
    <m/>
    <m/>
    <m/>
    <m/>
    <m/>
    <m/>
    <m/>
    <m/>
    <m/>
    <m/>
    <m/>
    <m/>
    <m/>
    <m/>
    <m/>
    <m/>
    <m/>
    <m/>
    <m/>
    <m/>
    <x v="0"/>
    <n v="68"/>
    <n v="1"/>
    <n v="2.1323529411764706"/>
    <m/>
    <m/>
  </r>
  <r>
    <d v="2009-10-06T00:00:00"/>
    <s v="Doughnut Hole"/>
    <n v="24"/>
    <x v="2"/>
    <s v="Wrack Left Year 3"/>
    <x v="11"/>
    <x v="1"/>
    <n v="203"/>
    <m/>
    <m/>
    <m/>
    <m/>
    <m/>
    <m/>
    <m/>
    <m/>
    <m/>
    <m/>
    <m/>
    <m/>
    <m/>
    <m/>
    <m/>
    <m/>
    <m/>
    <m/>
    <m/>
    <m/>
    <m/>
    <m/>
    <m/>
    <m/>
    <m/>
    <m/>
    <x v="0"/>
    <n v="203"/>
    <n v="1"/>
    <n v="1.7241379310344827"/>
    <m/>
    <m/>
  </r>
  <r>
    <d v="2009-10-14T00:00:00"/>
    <s v="Trap 2"/>
    <n v="16"/>
    <x v="0"/>
    <s v="Reference"/>
    <x v="11"/>
    <x v="1"/>
    <n v="67"/>
    <m/>
    <m/>
    <m/>
    <m/>
    <m/>
    <m/>
    <m/>
    <m/>
    <m/>
    <m/>
    <m/>
    <m/>
    <m/>
    <m/>
    <m/>
    <m/>
    <m/>
    <m/>
    <m/>
    <m/>
    <m/>
    <m/>
    <m/>
    <m/>
    <m/>
    <m/>
    <x v="0"/>
    <n v="67"/>
    <n v="1"/>
    <n v="1.8656716417910448"/>
    <m/>
    <m/>
  </r>
  <r>
    <d v="2009-10-14T00:00:00"/>
    <s v="Trap 3"/>
    <n v="16"/>
    <x v="1"/>
    <s v="Restricted"/>
    <x v="11"/>
    <x v="1"/>
    <m/>
    <m/>
    <m/>
    <m/>
    <m/>
    <m/>
    <m/>
    <m/>
    <m/>
    <m/>
    <m/>
    <m/>
    <m/>
    <m/>
    <m/>
    <m/>
    <m/>
    <m/>
    <m/>
    <m/>
    <m/>
    <m/>
    <m/>
    <m/>
    <m/>
    <m/>
    <m/>
    <x v="0"/>
    <n v="0"/>
    <n v="0"/>
    <m/>
    <m/>
    <m/>
  </r>
  <r>
    <d v="2009-10-14T00:00:00"/>
    <s v="Boomerang"/>
    <n v="16"/>
    <x v="2"/>
    <s v="Wrack Left Year 3"/>
    <x v="11"/>
    <x v="1"/>
    <n v="3"/>
    <m/>
    <m/>
    <m/>
    <m/>
    <m/>
    <m/>
    <m/>
    <m/>
    <m/>
    <m/>
    <m/>
    <m/>
    <m/>
    <m/>
    <m/>
    <m/>
    <m/>
    <m/>
    <m/>
    <m/>
    <m/>
    <m/>
    <m/>
    <m/>
    <n v="1"/>
    <m/>
    <x v="0"/>
    <n v="4"/>
    <n v="2"/>
    <n v="1.1666666666666667"/>
    <m/>
    <m/>
  </r>
  <r>
    <d v="2009-10-14T00:00:00"/>
    <s v="Doughnut Hole"/>
    <n v="16"/>
    <x v="2"/>
    <s v="Wrack Left Year 3"/>
    <x v="11"/>
    <x v="1"/>
    <n v="23"/>
    <m/>
    <m/>
    <m/>
    <m/>
    <m/>
    <m/>
    <m/>
    <m/>
    <m/>
    <m/>
    <m/>
    <m/>
    <m/>
    <m/>
    <m/>
    <m/>
    <m/>
    <m/>
    <m/>
    <m/>
    <m/>
    <m/>
    <m/>
    <m/>
    <m/>
    <m/>
    <x v="0"/>
    <n v="23"/>
    <n v="1"/>
    <n v="2.1739130434782608"/>
    <m/>
    <m/>
  </r>
  <r>
    <d v="2009-10-15T00:00:00"/>
    <s v="Trap 2"/>
    <n v="24"/>
    <x v="0"/>
    <s v="Reference"/>
    <x v="11"/>
    <x v="1"/>
    <n v="24"/>
    <m/>
    <m/>
    <m/>
    <m/>
    <m/>
    <m/>
    <m/>
    <m/>
    <m/>
    <m/>
    <m/>
    <m/>
    <m/>
    <n v="2"/>
    <m/>
    <m/>
    <m/>
    <m/>
    <m/>
    <m/>
    <m/>
    <m/>
    <m/>
    <m/>
    <m/>
    <m/>
    <x v="0"/>
    <n v="26"/>
    <n v="2"/>
    <n v="3.5416666666666665"/>
    <m/>
    <m/>
  </r>
  <r>
    <d v="2009-10-15T00:00:00"/>
    <s v="Trap 3"/>
    <n v="24"/>
    <x v="1"/>
    <s v="Restricted"/>
    <x v="11"/>
    <x v="1"/>
    <n v="2"/>
    <m/>
    <m/>
    <m/>
    <m/>
    <m/>
    <m/>
    <m/>
    <m/>
    <m/>
    <m/>
    <m/>
    <m/>
    <m/>
    <m/>
    <m/>
    <m/>
    <m/>
    <m/>
    <m/>
    <m/>
    <m/>
    <m/>
    <m/>
    <m/>
    <m/>
    <m/>
    <x v="0"/>
    <n v="2"/>
    <n v="1"/>
    <n v="3"/>
    <m/>
    <m/>
  </r>
  <r>
    <d v="2009-10-15T00:00:00"/>
    <s v="Boomerang"/>
    <n v="24"/>
    <x v="2"/>
    <s v="Wrack Left Year 3"/>
    <x v="11"/>
    <x v="1"/>
    <n v="47"/>
    <m/>
    <m/>
    <m/>
    <m/>
    <m/>
    <m/>
    <m/>
    <m/>
    <m/>
    <m/>
    <n v="1"/>
    <m/>
    <m/>
    <m/>
    <m/>
    <m/>
    <m/>
    <m/>
    <m/>
    <m/>
    <m/>
    <m/>
    <m/>
    <m/>
    <m/>
    <m/>
    <x v="0"/>
    <n v="48"/>
    <n v="2"/>
    <n v="1.7021276595744681"/>
    <n v="10"/>
    <m/>
  </r>
  <r>
    <d v="2009-10-15T00:00:00"/>
    <s v="Doughnut Hole"/>
    <n v="24"/>
    <x v="2"/>
    <s v="Wrack Left Year 3"/>
    <x v="11"/>
    <x v="1"/>
    <n v="121"/>
    <m/>
    <m/>
    <m/>
    <m/>
    <m/>
    <m/>
    <m/>
    <m/>
    <m/>
    <m/>
    <m/>
    <m/>
    <m/>
    <m/>
    <m/>
    <m/>
    <m/>
    <m/>
    <m/>
    <m/>
    <m/>
    <m/>
    <m/>
    <m/>
    <m/>
    <m/>
    <x v="0"/>
    <n v="121"/>
    <n v="1"/>
    <n v="2.2727272727272729"/>
    <m/>
    <m/>
  </r>
  <r>
    <d v="2010-10-12T00:00:00"/>
    <s v="Trap 2"/>
    <n v="19.5"/>
    <x v="0"/>
    <s v="Reference"/>
    <x v="12"/>
    <x v="1"/>
    <n v="81"/>
    <m/>
    <m/>
    <m/>
    <m/>
    <m/>
    <m/>
    <m/>
    <m/>
    <m/>
    <m/>
    <m/>
    <m/>
    <m/>
    <n v="2"/>
    <m/>
    <m/>
    <n v="1"/>
    <m/>
    <m/>
    <m/>
    <m/>
    <m/>
    <m/>
    <m/>
    <n v="1"/>
    <m/>
    <x v="0"/>
    <n v="85"/>
    <n v="4"/>
    <n v="2.16"/>
    <m/>
    <n v="5"/>
  </r>
  <r>
    <d v="2010-10-12T00:00:00"/>
    <s v="Trap 3"/>
    <n v="19.5"/>
    <x v="1"/>
    <s v="Restored 1"/>
    <x v="12"/>
    <x v="1"/>
    <n v="216"/>
    <m/>
    <m/>
    <m/>
    <m/>
    <m/>
    <m/>
    <m/>
    <m/>
    <m/>
    <m/>
    <m/>
    <m/>
    <m/>
    <m/>
    <m/>
    <m/>
    <m/>
    <m/>
    <m/>
    <m/>
    <m/>
    <m/>
    <m/>
    <m/>
    <m/>
    <m/>
    <x v="0"/>
    <n v="216"/>
    <n v="1"/>
    <n v="1.8"/>
    <m/>
    <m/>
  </r>
  <r>
    <d v="2010-10-12T00:00:00"/>
    <s v="Boomerang"/>
    <n v="19.5"/>
    <x v="2"/>
    <s v="Wrack Left Year 3"/>
    <x v="12"/>
    <x v="1"/>
    <n v="89"/>
    <m/>
    <m/>
    <m/>
    <m/>
    <m/>
    <m/>
    <m/>
    <m/>
    <m/>
    <m/>
    <m/>
    <m/>
    <m/>
    <m/>
    <m/>
    <m/>
    <n v="2"/>
    <m/>
    <m/>
    <m/>
    <m/>
    <m/>
    <m/>
    <m/>
    <m/>
    <m/>
    <x v="0"/>
    <n v="91"/>
    <n v="2"/>
    <n v="1.8"/>
    <m/>
    <n v="2.5"/>
  </r>
  <r>
    <d v="2010-10-12T00:00:00"/>
    <s v="Divergent"/>
    <n v="19.5"/>
    <x v="2"/>
    <s v="Wrack Left Year 3"/>
    <x v="12"/>
    <x v="1"/>
    <n v="123"/>
    <m/>
    <m/>
    <m/>
    <m/>
    <m/>
    <m/>
    <m/>
    <m/>
    <m/>
    <m/>
    <m/>
    <m/>
    <m/>
    <m/>
    <m/>
    <m/>
    <m/>
    <m/>
    <m/>
    <m/>
    <m/>
    <m/>
    <m/>
    <m/>
    <m/>
    <m/>
    <x v="0"/>
    <n v="123"/>
    <m/>
    <n v="2"/>
    <m/>
    <m/>
  </r>
  <r>
    <d v="2010-10-13T00:00:00"/>
    <s v="Trap 2"/>
    <n v="19.5"/>
    <x v="0"/>
    <s v="Reference"/>
    <x v="12"/>
    <x v="1"/>
    <n v="106"/>
    <m/>
    <m/>
    <m/>
    <m/>
    <m/>
    <m/>
    <m/>
    <m/>
    <m/>
    <m/>
    <m/>
    <m/>
    <m/>
    <n v="1"/>
    <m/>
    <m/>
    <n v="1"/>
    <m/>
    <m/>
    <m/>
    <m/>
    <m/>
    <m/>
    <m/>
    <m/>
    <m/>
    <x v="0"/>
    <n v="108"/>
    <n v="3"/>
    <n v="2"/>
    <m/>
    <n v="1"/>
  </r>
  <r>
    <d v="2010-10-13T00:00:00"/>
    <s v="Trap 3"/>
    <n v="24"/>
    <x v="1"/>
    <s v="Restored 1"/>
    <x v="12"/>
    <x v="1"/>
    <n v="157"/>
    <m/>
    <m/>
    <m/>
    <m/>
    <m/>
    <m/>
    <m/>
    <m/>
    <m/>
    <m/>
    <m/>
    <m/>
    <m/>
    <m/>
    <m/>
    <m/>
    <m/>
    <m/>
    <m/>
    <m/>
    <m/>
    <m/>
    <m/>
    <m/>
    <m/>
    <m/>
    <x v="0"/>
    <n v="157"/>
    <n v="1"/>
    <n v="2"/>
    <m/>
    <m/>
  </r>
  <r>
    <d v="2010-10-13T00:00:00"/>
    <s v="Boomerang"/>
    <n v="24"/>
    <x v="2"/>
    <s v="Wrack Left Year 3"/>
    <x v="12"/>
    <x v="1"/>
    <n v="137"/>
    <m/>
    <m/>
    <m/>
    <m/>
    <m/>
    <m/>
    <m/>
    <m/>
    <m/>
    <m/>
    <m/>
    <m/>
    <m/>
    <m/>
    <m/>
    <m/>
    <m/>
    <m/>
    <m/>
    <m/>
    <m/>
    <m/>
    <m/>
    <m/>
    <m/>
    <m/>
    <x v="0"/>
    <n v="137"/>
    <n v="1"/>
    <n v="1.8"/>
    <m/>
    <m/>
  </r>
  <r>
    <d v="2010-10-13T00:00:00"/>
    <s v="Doughnut Hole"/>
    <n v="24"/>
    <x v="2"/>
    <s v="Wrack Left Year 3"/>
    <x v="12"/>
    <x v="1"/>
    <n v="29"/>
    <m/>
    <m/>
    <m/>
    <m/>
    <m/>
    <m/>
    <m/>
    <m/>
    <m/>
    <m/>
    <m/>
    <m/>
    <m/>
    <m/>
    <m/>
    <m/>
    <m/>
    <m/>
    <m/>
    <m/>
    <m/>
    <m/>
    <m/>
    <m/>
    <m/>
    <m/>
    <x v="0"/>
    <n v="29"/>
    <n v="1"/>
    <n v="2.4"/>
    <m/>
    <m/>
  </r>
  <r>
    <d v="2010-10-14T00:00:00"/>
    <s v="Trap 2"/>
    <n v="24"/>
    <x v="0"/>
    <s v="Reference"/>
    <x v="12"/>
    <x v="1"/>
    <n v="87"/>
    <m/>
    <m/>
    <m/>
    <m/>
    <m/>
    <m/>
    <m/>
    <m/>
    <m/>
    <m/>
    <m/>
    <m/>
    <m/>
    <n v="2"/>
    <m/>
    <m/>
    <m/>
    <m/>
    <m/>
    <m/>
    <m/>
    <m/>
    <m/>
    <m/>
    <m/>
    <m/>
    <x v="0"/>
    <n v="89"/>
    <n v="2"/>
    <n v="1.72"/>
    <m/>
    <m/>
  </r>
  <r>
    <d v="2010-10-14T00:00:00"/>
    <s v="Boomerang"/>
    <n v="24"/>
    <x v="1"/>
    <s v="Restored 1"/>
    <x v="12"/>
    <x v="1"/>
    <n v="39"/>
    <m/>
    <m/>
    <m/>
    <m/>
    <m/>
    <m/>
    <m/>
    <m/>
    <m/>
    <m/>
    <m/>
    <m/>
    <m/>
    <m/>
    <m/>
    <m/>
    <m/>
    <m/>
    <m/>
    <m/>
    <m/>
    <m/>
    <m/>
    <m/>
    <m/>
    <m/>
    <x v="0"/>
    <n v="39"/>
    <n v="1"/>
    <n v="1.54"/>
    <m/>
    <m/>
  </r>
  <r>
    <d v="2010-10-14T00:00:00"/>
    <s v="Doughnut Hole"/>
    <n v="24"/>
    <x v="2"/>
    <s v="Wrack Left Year 3"/>
    <x v="12"/>
    <x v="1"/>
    <n v="87"/>
    <m/>
    <m/>
    <m/>
    <m/>
    <m/>
    <m/>
    <m/>
    <m/>
    <m/>
    <m/>
    <m/>
    <m/>
    <m/>
    <n v="2"/>
    <m/>
    <m/>
    <m/>
    <m/>
    <m/>
    <m/>
    <m/>
    <m/>
    <m/>
    <m/>
    <m/>
    <m/>
    <x v="0"/>
    <n v="89"/>
    <n v="2"/>
    <n v="1.7"/>
    <m/>
    <m/>
  </r>
  <r>
    <d v="2010-10-14T00:00:00"/>
    <s v="Trap 3"/>
    <n v="24"/>
    <x v="2"/>
    <s v="Restored 1"/>
    <x v="12"/>
    <x v="1"/>
    <n v="35"/>
    <m/>
    <m/>
    <m/>
    <m/>
    <m/>
    <m/>
    <m/>
    <m/>
    <m/>
    <m/>
    <m/>
    <m/>
    <m/>
    <m/>
    <m/>
    <m/>
    <m/>
    <m/>
    <m/>
    <m/>
    <m/>
    <m/>
    <m/>
    <m/>
    <m/>
    <m/>
    <x v="0"/>
    <n v="35"/>
    <n v="1"/>
    <n v="2.14"/>
    <m/>
    <m/>
  </r>
  <r>
    <d v="2010-10-28T00:00:00"/>
    <s v="Trap 2"/>
    <n v="25"/>
    <x v="0"/>
    <s v="Reference"/>
    <x v="12"/>
    <x v="1"/>
    <n v="67"/>
    <m/>
    <m/>
    <m/>
    <m/>
    <m/>
    <m/>
    <m/>
    <m/>
    <m/>
    <m/>
    <m/>
    <m/>
    <m/>
    <n v="1"/>
    <m/>
    <m/>
    <m/>
    <m/>
    <m/>
    <m/>
    <m/>
    <m/>
    <m/>
    <m/>
    <m/>
    <m/>
    <x v="0"/>
    <n v="68"/>
    <n v="2"/>
    <n v="1.79"/>
    <m/>
    <m/>
  </r>
  <r>
    <d v="2010-10-28T00:00:00"/>
    <s v="Trap 3"/>
    <n v="25"/>
    <x v="1"/>
    <s v="Restored 1"/>
    <x v="12"/>
    <x v="1"/>
    <n v="192"/>
    <m/>
    <m/>
    <n v="1"/>
    <m/>
    <m/>
    <m/>
    <m/>
    <m/>
    <m/>
    <m/>
    <m/>
    <m/>
    <m/>
    <m/>
    <m/>
    <m/>
    <m/>
    <m/>
    <m/>
    <m/>
    <m/>
    <m/>
    <m/>
    <m/>
    <m/>
    <m/>
    <x v="0"/>
    <n v="193"/>
    <n v="2"/>
    <m/>
    <m/>
    <m/>
  </r>
  <r>
    <d v="2010-10-28T00:00:00"/>
    <s v="Boomerang"/>
    <n v="25"/>
    <x v="2"/>
    <s v="Wrack Left Year 3"/>
    <x v="12"/>
    <x v="1"/>
    <n v="177"/>
    <n v="1"/>
    <m/>
    <m/>
    <m/>
    <m/>
    <m/>
    <m/>
    <m/>
    <m/>
    <m/>
    <m/>
    <m/>
    <m/>
    <m/>
    <m/>
    <m/>
    <m/>
    <m/>
    <m/>
    <m/>
    <m/>
    <m/>
    <m/>
    <m/>
    <m/>
    <m/>
    <x v="0"/>
    <n v="178"/>
    <n v="2"/>
    <n v="1.76"/>
    <m/>
    <m/>
  </r>
  <r>
    <d v="2010-10-28T00:00:00"/>
    <s v="Doughnut Hole"/>
    <n v="25"/>
    <x v="2"/>
    <s v="Wrack Left Year 3"/>
    <x v="12"/>
    <x v="1"/>
    <n v="105"/>
    <m/>
    <m/>
    <m/>
    <m/>
    <m/>
    <m/>
    <m/>
    <m/>
    <m/>
    <m/>
    <m/>
    <m/>
    <m/>
    <m/>
    <m/>
    <m/>
    <m/>
    <m/>
    <m/>
    <m/>
    <m/>
    <m/>
    <m/>
    <m/>
    <m/>
    <m/>
    <x v="0"/>
    <n v="105"/>
    <n v="1"/>
    <n v="2.0299999999999998"/>
    <m/>
    <m/>
  </r>
  <r>
    <d v="2011-09-19T00:00:00"/>
    <s v="Trap 2"/>
    <n v="22"/>
    <x v="0"/>
    <s v="Restored 1"/>
    <x v="13"/>
    <x v="1"/>
    <n v="96"/>
    <m/>
    <m/>
    <m/>
    <m/>
    <m/>
    <m/>
    <m/>
    <m/>
    <m/>
    <m/>
    <m/>
    <m/>
    <m/>
    <m/>
    <m/>
    <m/>
    <m/>
    <m/>
    <m/>
    <m/>
    <m/>
    <m/>
    <m/>
    <m/>
    <m/>
    <m/>
    <x v="0"/>
    <n v="96"/>
    <n v="1"/>
    <n v="2.3229166666666665"/>
    <m/>
    <m/>
  </r>
  <r>
    <d v="2011-09-19T00:00:00"/>
    <s v="Trap 3"/>
    <n v="22"/>
    <x v="1"/>
    <s v="Restored 1"/>
    <x v="13"/>
    <x v="1"/>
    <n v="21"/>
    <m/>
    <m/>
    <n v="1"/>
    <m/>
    <m/>
    <m/>
    <m/>
    <m/>
    <m/>
    <m/>
    <m/>
    <m/>
    <m/>
    <m/>
    <m/>
    <m/>
    <m/>
    <m/>
    <m/>
    <m/>
    <m/>
    <m/>
    <m/>
    <m/>
    <n v="1"/>
    <m/>
    <x v="0"/>
    <n v="23"/>
    <n v="3"/>
    <n v="1.1904761904761905"/>
    <m/>
    <m/>
  </r>
  <r>
    <d v="2011-09-19T00:00:00"/>
    <s v="Boomerang"/>
    <n v="22"/>
    <x v="2"/>
    <s v="Wrack Left "/>
    <x v="13"/>
    <x v="1"/>
    <n v="0"/>
    <m/>
    <m/>
    <m/>
    <m/>
    <m/>
    <m/>
    <m/>
    <m/>
    <m/>
    <m/>
    <m/>
    <m/>
    <m/>
    <m/>
    <m/>
    <m/>
    <m/>
    <m/>
    <m/>
    <m/>
    <m/>
    <m/>
    <m/>
    <m/>
    <m/>
    <m/>
    <x v="0"/>
    <n v="0"/>
    <n v="0"/>
    <m/>
    <m/>
    <m/>
  </r>
  <r>
    <d v="2011-09-19T00:00:00"/>
    <s v="Jelly Bean"/>
    <n v="22"/>
    <x v="3"/>
    <s v="Wrack Left "/>
    <x v="13"/>
    <x v="1"/>
    <n v="127"/>
    <m/>
    <m/>
    <m/>
    <m/>
    <m/>
    <m/>
    <m/>
    <m/>
    <m/>
    <m/>
    <m/>
    <m/>
    <m/>
    <m/>
    <m/>
    <m/>
    <m/>
    <m/>
    <m/>
    <m/>
    <m/>
    <m/>
    <m/>
    <m/>
    <m/>
    <m/>
    <x v="0"/>
    <n v="127"/>
    <n v="1"/>
    <n v="1.7322834645669292"/>
    <m/>
    <m/>
  </r>
  <r>
    <d v="2011-09-23T00:00:00"/>
    <s v="Doughnut Hole"/>
    <n v="16"/>
    <x v="2"/>
    <s v="Wrack Left "/>
    <x v="13"/>
    <x v="1"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</r>
  <r>
    <d v="2011-09-23T00:00:00"/>
    <s v="Trap 2"/>
    <n v="16"/>
    <x v="0"/>
    <s v="Wrack Left "/>
    <x v="13"/>
    <x v="1"/>
    <m/>
    <m/>
    <m/>
    <m/>
    <m/>
    <m/>
    <m/>
    <m/>
    <m/>
    <m/>
    <m/>
    <m/>
    <m/>
    <m/>
    <m/>
    <m/>
    <m/>
    <m/>
    <m/>
    <m/>
    <m/>
    <m/>
    <m/>
    <m/>
    <m/>
    <m/>
    <m/>
    <x v="0"/>
    <m/>
    <m/>
    <m/>
    <m/>
    <m/>
  </r>
  <r>
    <d v="2011-09-23T00:00:00"/>
    <s v="Trap 3"/>
    <n v="16"/>
    <x v="1"/>
    <s v="Restored 1"/>
    <x v="13"/>
    <x v="1"/>
    <n v="18"/>
    <m/>
    <m/>
    <m/>
    <m/>
    <m/>
    <m/>
    <m/>
    <m/>
    <n v="1"/>
    <m/>
    <m/>
    <m/>
    <m/>
    <m/>
    <m/>
    <m/>
    <m/>
    <m/>
    <m/>
    <m/>
    <m/>
    <m/>
    <m/>
    <m/>
    <m/>
    <m/>
    <x v="0"/>
    <n v="19"/>
    <n v="2"/>
    <n v="1.9444444444444444"/>
    <m/>
    <m/>
  </r>
  <r>
    <d v="2011-09-23T00:00:00"/>
    <s v="Boomerang"/>
    <n v="16"/>
    <x v="2"/>
    <s v="Wrack Left "/>
    <x v="13"/>
    <x v="1"/>
    <n v="94"/>
    <m/>
    <m/>
    <m/>
    <m/>
    <m/>
    <m/>
    <m/>
    <m/>
    <m/>
    <m/>
    <m/>
    <m/>
    <m/>
    <m/>
    <m/>
    <m/>
    <m/>
    <m/>
    <m/>
    <m/>
    <m/>
    <m/>
    <m/>
    <m/>
    <m/>
    <m/>
    <x v="0"/>
    <n v="94"/>
    <n v="1"/>
    <n v="3.0319148936170213"/>
    <m/>
    <m/>
  </r>
  <r>
    <d v="2011-10-03T00:00:00"/>
    <s v="Trap 2"/>
    <n v="22.5"/>
    <x v="0"/>
    <s v="Restored 1"/>
    <x v="13"/>
    <x v="1"/>
    <n v="68"/>
    <m/>
    <m/>
    <n v="1"/>
    <m/>
    <m/>
    <m/>
    <m/>
    <m/>
    <m/>
    <m/>
    <m/>
    <m/>
    <m/>
    <m/>
    <m/>
    <m/>
    <m/>
    <m/>
    <m/>
    <m/>
    <m/>
    <m/>
    <m/>
    <m/>
    <m/>
    <m/>
    <x v="0"/>
    <n v="69"/>
    <n v="2"/>
    <n v="4.5588235294117645"/>
    <m/>
    <m/>
  </r>
  <r>
    <d v="2011-10-03T00:00:00"/>
    <s v="Trap 3"/>
    <n v="22.5"/>
    <x v="1"/>
    <s v="Restored 1"/>
    <x v="13"/>
    <x v="1"/>
    <n v="0"/>
    <m/>
    <m/>
    <m/>
    <m/>
    <m/>
    <m/>
    <m/>
    <m/>
    <m/>
    <m/>
    <m/>
    <m/>
    <m/>
    <m/>
    <m/>
    <m/>
    <m/>
    <m/>
    <m/>
    <m/>
    <m/>
    <m/>
    <m/>
    <m/>
    <m/>
    <m/>
    <x v="0"/>
    <n v="0"/>
    <n v="0"/>
    <m/>
    <m/>
    <m/>
  </r>
  <r>
    <d v="2011-10-03T00:00:00"/>
    <s v="Boomerang"/>
    <n v="22.5"/>
    <x v="2"/>
    <s v="Wrack Left "/>
    <x v="13"/>
    <x v="1"/>
    <n v="182"/>
    <m/>
    <m/>
    <n v="1"/>
    <m/>
    <m/>
    <m/>
    <m/>
    <m/>
    <m/>
    <m/>
    <m/>
    <m/>
    <m/>
    <m/>
    <m/>
    <m/>
    <m/>
    <m/>
    <m/>
    <m/>
    <m/>
    <m/>
    <m/>
    <m/>
    <m/>
    <m/>
    <x v="0"/>
    <n v="183"/>
    <n v="2"/>
    <n v="2.1428571428571428"/>
    <m/>
    <m/>
  </r>
  <r>
    <d v="2011-10-03T00:00:00"/>
    <s v="Doughnut Hole"/>
    <n v="22.5"/>
    <x v="2"/>
    <s v="Wrack Left "/>
    <x v="13"/>
    <x v="1"/>
    <n v="62"/>
    <m/>
    <m/>
    <m/>
    <m/>
    <m/>
    <m/>
    <m/>
    <m/>
    <m/>
    <m/>
    <m/>
    <m/>
    <m/>
    <m/>
    <m/>
    <m/>
    <m/>
    <m/>
    <m/>
    <m/>
    <m/>
    <m/>
    <m/>
    <m/>
    <m/>
    <m/>
    <x v="0"/>
    <n v="62"/>
    <n v="1"/>
    <n v="2.338709677419355"/>
    <m/>
    <m/>
  </r>
  <r>
    <d v="2011-10-07T00:00:00"/>
    <s v="Trap 1"/>
    <n v="16"/>
    <x v="0"/>
    <s v="Restored 1"/>
    <x v="13"/>
    <x v="1"/>
    <n v="97"/>
    <m/>
    <m/>
    <m/>
    <m/>
    <m/>
    <m/>
    <m/>
    <m/>
    <m/>
    <m/>
    <m/>
    <m/>
    <m/>
    <m/>
    <m/>
    <m/>
    <m/>
    <m/>
    <m/>
    <m/>
    <m/>
    <m/>
    <m/>
    <m/>
    <m/>
    <m/>
    <x v="0"/>
    <n v="97"/>
    <n v="1"/>
    <n v="1.7525773195876289"/>
    <m/>
    <m/>
  </r>
  <r>
    <d v="2011-10-07T00:00:00"/>
    <s v="Trap 3"/>
    <n v="16"/>
    <x v="1"/>
    <s v="Restored 1"/>
    <x v="13"/>
    <x v="1"/>
    <n v="24"/>
    <m/>
    <m/>
    <m/>
    <m/>
    <m/>
    <m/>
    <m/>
    <m/>
    <m/>
    <m/>
    <m/>
    <m/>
    <m/>
    <m/>
    <m/>
    <m/>
    <m/>
    <m/>
    <m/>
    <m/>
    <m/>
    <m/>
    <m/>
    <m/>
    <m/>
    <m/>
    <x v="0"/>
    <n v="24"/>
    <n v="1"/>
    <n v="2.2916666666666665"/>
    <m/>
    <m/>
  </r>
  <r>
    <d v="2011-10-07T00:00:00"/>
    <s v="Boomerang"/>
    <n v="16"/>
    <x v="2"/>
    <s v="Wrack Left "/>
    <x v="13"/>
    <x v="1"/>
    <n v="0"/>
    <m/>
    <m/>
    <m/>
    <m/>
    <m/>
    <m/>
    <m/>
    <m/>
    <m/>
    <m/>
    <m/>
    <m/>
    <m/>
    <m/>
    <m/>
    <m/>
    <m/>
    <m/>
    <m/>
    <m/>
    <m/>
    <m/>
    <m/>
    <m/>
    <m/>
    <m/>
    <x v="0"/>
    <n v="0"/>
    <n v="0"/>
    <m/>
    <m/>
    <m/>
  </r>
  <r>
    <d v="2011-10-07T00:00:00"/>
    <s v="Jelly Bean"/>
    <n v="16"/>
    <x v="3"/>
    <s v="Wrack Left "/>
    <x v="13"/>
    <x v="1"/>
    <n v="121"/>
    <m/>
    <m/>
    <m/>
    <m/>
    <m/>
    <m/>
    <m/>
    <m/>
    <m/>
    <m/>
    <m/>
    <m/>
    <m/>
    <m/>
    <m/>
    <m/>
    <m/>
    <m/>
    <m/>
    <m/>
    <m/>
    <m/>
    <m/>
    <m/>
    <m/>
    <m/>
    <x v="0"/>
    <n v="121"/>
    <n v="1"/>
    <n v="1.7768595041322315"/>
    <m/>
    <m/>
  </r>
  <r>
    <d v="2012-10-11T00:00:00"/>
    <s v="Trap 1"/>
    <m/>
    <x v="0"/>
    <s v="Restored 1"/>
    <x v="14"/>
    <x v="1"/>
    <n v="2"/>
    <m/>
    <m/>
    <m/>
    <m/>
    <m/>
    <m/>
    <m/>
    <m/>
    <m/>
    <m/>
    <m/>
    <m/>
    <m/>
    <m/>
    <m/>
    <m/>
    <m/>
    <m/>
    <m/>
    <m/>
    <m/>
    <m/>
    <m/>
    <m/>
    <m/>
    <m/>
    <x v="0"/>
    <n v="2"/>
    <n v="1"/>
    <n v="4.5"/>
    <m/>
    <m/>
  </r>
  <r>
    <d v="2012-10-11T00:00:00"/>
    <s v="Doughnut Hole"/>
    <m/>
    <x v="2"/>
    <s v="Wrack Left "/>
    <x v="14"/>
    <x v="1"/>
    <n v="310"/>
    <m/>
    <m/>
    <m/>
    <m/>
    <m/>
    <m/>
    <m/>
    <m/>
    <m/>
    <m/>
    <m/>
    <m/>
    <n v="1"/>
    <m/>
    <m/>
    <m/>
    <m/>
    <m/>
    <m/>
    <m/>
    <m/>
    <m/>
    <m/>
    <m/>
    <m/>
    <m/>
    <x v="0"/>
    <n v="311"/>
    <n v="2"/>
    <n v="2.2580645161290325"/>
    <m/>
    <m/>
  </r>
  <r>
    <d v="2012-10-12T00:00:00"/>
    <s v="Trap 1"/>
    <n v="24"/>
    <x v="0"/>
    <s v="Restored 1"/>
    <x v="14"/>
    <x v="1"/>
    <n v="148"/>
    <m/>
    <m/>
    <m/>
    <m/>
    <m/>
    <m/>
    <m/>
    <m/>
    <m/>
    <m/>
    <m/>
    <m/>
    <m/>
    <m/>
    <m/>
    <m/>
    <n v="1"/>
    <m/>
    <m/>
    <m/>
    <m/>
    <m/>
    <m/>
    <m/>
    <m/>
    <m/>
    <x v="0"/>
    <n v="149"/>
    <n v="2"/>
    <n v="2.2297297297297298"/>
    <m/>
    <n v="2"/>
  </r>
  <r>
    <s v="1012/2012"/>
    <s v="Trap 3 "/>
    <n v="24"/>
    <x v="1"/>
    <s v="Restored 1"/>
    <x v="14"/>
    <x v="1"/>
    <n v="12"/>
    <m/>
    <m/>
    <m/>
    <m/>
    <m/>
    <m/>
    <m/>
    <m/>
    <m/>
    <m/>
    <m/>
    <m/>
    <m/>
    <m/>
    <m/>
    <m/>
    <m/>
    <m/>
    <m/>
    <m/>
    <m/>
    <m/>
    <m/>
    <m/>
    <m/>
    <m/>
    <x v="0"/>
    <n v="12"/>
    <n v="1"/>
    <n v="1.6666666666666667"/>
    <m/>
    <m/>
  </r>
  <r>
    <d v="2012-10-12T00:00:00"/>
    <s v="Doughnut Hole"/>
    <n v="24"/>
    <x v="2"/>
    <s v="Wrack Left "/>
    <x v="14"/>
    <x v="1"/>
    <n v="376"/>
    <m/>
    <m/>
    <m/>
    <m/>
    <m/>
    <m/>
    <m/>
    <m/>
    <m/>
    <m/>
    <m/>
    <m/>
    <m/>
    <m/>
    <m/>
    <m/>
    <m/>
    <m/>
    <m/>
    <m/>
    <m/>
    <m/>
    <m/>
    <m/>
    <m/>
    <m/>
    <x v="0"/>
    <n v="376"/>
    <n v="1"/>
    <n v="1.8617021276595744"/>
    <m/>
    <m/>
  </r>
  <r>
    <d v="2013-10-09T00:00:00"/>
    <s v="Trap 2"/>
    <n v="24"/>
    <x v="0"/>
    <s v="Restored 1"/>
    <x v="15"/>
    <x v="1"/>
    <n v="94"/>
    <m/>
    <m/>
    <m/>
    <m/>
    <m/>
    <m/>
    <m/>
    <m/>
    <m/>
    <m/>
    <m/>
    <m/>
    <m/>
    <m/>
    <m/>
    <m/>
    <m/>
    <m/>
    <m/>
    <m/>
    <m/>
    <m/>
    <m/>
    <m/>
    <m/>
    <m/>
    <x v="0"/>
    <n v="94"/>
    <n v="1"/>
    <n v="1.5"/>
    <m/>
    <m/>
  </r>
  <r>
    <d v="2013-10-09T00:00:00"/>
    <s v="Trap 3"/>
    <n v="24"/>
    <x v="1"/>
    <s v="Restored 1"/>
    <x v="15"/>
    <x v="1"/>
    <n v="132"/>
    <m/>
    <m/>
    <m/>
    <m/>
    <m/>
    <m/>
    <m/>
    <m/>
    <m/>
    <m/>
    <m/>
    <m/>
    <m/>
    <m/>
    <m/>
    <m/>
    <m/>
    <m/>
    <m/>
    <m/>
    <m/>
    <m/>
    <m/>
    <n v="1"/>
    <n v="1"/>
    <m/>
    <x v="0"/>
    <n v="134"/>
    <n v="3"/>
    <n v="2.2000000000000002"/>
    <m/>
    <m/>
  </r>
  <r>
    <d v="2013-10-09T00:00:00"/>
    <s v="Boomerang"/>
    <n v="24"/>
    <x v="2"/>
    <s v="Wrack Left "/>
    <x v="15"/>
    <x v="1"/>
    <n v="247"/>
    <m/>
    <m/>
    <m/>
    <m/>
    <m/>
    <m/>
    <m/>
    <m/>
    <m/>
    <m/>
    <m/>
    <m/>
    <m/>
    <m/>
    <m/>
    <m/>
    <m/>
    <m/>
    <m/>
    <m/>
    <m/>
    <m/>
    <m/>
    <m/>
    <m/>
    <m/>
    <x v="0"/>
    <n v="247"/>
    <n v="1"/>
    <n v="1.3"/>
    <m/>
    <m/>
  </r>
  <r>
    <d v="2013-10-09T00:00:00"/>
    <s v="Divergent "/>
    <n v="25.1"/>
    <x v="2"/>
    <s v="Wrack Left "/>
    <x v="15"/>
    <x v="1"/>
    <n v="127"/>
    <m/>
    <m/>
    <m/>
    <m/>
    <m/>
    <m/>
    <m/>
    <m/>
    <m/>
    <m/>
    <m/>
    <m/>
    <m/>
    <m/>
    <m/>
    <m/>
    <n v="1"/>
    <m/>
    <m/>
    <m/>
    <m/>
    <m/>
    <m/>
    <m/>
    <m/>
    <m/>
    <x v="0"/>
    <n v="128"/>
    <n v="2"/>
    <n v="2"/>
    <m/>
    <m/>
  </r>
  <r>
    <d v="2013-10-10T00:00:00"/>
    <s v="Trap 2"/>
    <n v="24"/>
    <x v="0"/>
    <s v="Restored 1"/>
    <x v="15"/>
    <x v="1"/>
    <n v="88"/>
    <m/>
    <m/>
    <m/>
    <m/>
    <m/>
    <m/>
    <m/>
    <m/>
    <m/>
    <m/>
    <m/>
    <m/>
    <m/>
    <m/>
    <m/>
    <m/>
    <m/>
    <m/>
    <m/>
    <m/>
    <m/>
    <m/>
    <m/>
    <m/>
    <m/>
    <m/>
    <x v="0"/>
    <n v="88"/>
    <n v="1"/>
    <n v="1.7"/>
    <m/>
    <m/>
  </r>
  <r>
    <d v="2013-10-10T00:00:00"/>
    <s v="Trap 3"/>
    <n v="24"/>
    <x v="1"/>
    <s v="Restored 1"/>
    <x v="15"/>
    <x v="1"/>
    <n v="77"/>
    <m/>
    <m/>
    <m/>
    <m/>
    <m/>
    <m/>
    <m/>
    <m/>
    <m/>
    <m/>
    <m/>
    <m/>
    <m/>
    <m/>
    <m/>
    <m/>
    <m/>
    <m/>
    <m/>
    <m/>
    <m/>
    <m/>
    <m/>
    <m/>
    <m/>
    <m/>
    <x v="0"/>
    <n v="77"/>
    <n v="1"/>
    <n v="2.1"/>
    <m/>
    <m/>
  </r>
  <r>
    <d v="2013-10-10T00:00:00"/>
    <s v="Boomerang"/>
    <n v="24"/>
    <x v="2"/>
    <s v="Wrack Left "/>
    <x v="15"/>
    <x v="1"/>
    <n v="259"/>
    <m/>
    <m/>
    <m/>
    <m/>
    <m/>
    <m/>
    <m/>
    <m/>
    <m/>
    <m/>
    <m/>
    <m/>
    <m/>
    <m/>
    <m/>
    <m/>
    <m/>
    <m/>
    <m/>
    <m/>
    <m/>
    <m/>
    <m/>
    <m/>
    <m/>
    <m/>
    <x v="0"/>
    <n v="259"/>
    <n v="1"/>
    <n v="1.9"/>
    <m/>
    <m/>
  </r>
  <r>
    <d v="2013-10-10T00:00:00"/>
    <s v="Doughnut Hole"/>
    <n v="25.25"/>
    <x v="2"/>
    <s v="Wrack Left "/>
    <x v="15"/>
    <x v="1"/>
    <n v="67"/>
    <m/>
    <m/>
    <m/>
    <m/>
    <m/>
    <m/>
    <m/>
    <m/>
    <m/>
    <m/>
    <m/>
    <m/>
    <m/>
    <m/>
    <m/>
    <m/>
    <m/>
    <m/>
    <m/>
    <m/>
    <m/>
    <m/>
    <m/>
    <m/>
    <m/>
    <m/>
    <x v="0"/>
    <n v="67"/>
    <n v="1"/>
    <n v="1.7"/>
    <m/>
    <m/>
  </r>
  <r>
    <d v="2013-10-24T00:00:00"/>
    <s v="Trap 2"/>
    <n v="25"/>
    <x v="0"/>
    <s v="Restored 1"/>
    <x v="15"/>
    <x v="1"/>
    <n v="44"/>
    <m/>
    <m/>
    <m/>
    <m/>
    <m/>
    <m/>
    <m/>
    <m/>
    <m/>
    <m/>
    <m/>
    <m/>
    <m/>
    <m/>
    <m/>
    <m/>
    <m/>
    <m/>
    <m/>
    <m/>
    <m/>
    <m/>
    <m/>
    <m/>
    <m/>
    <m/>
    <x v="0"/>
    <n v="44"/>
    <n v="1"/>
    <n v="1.36"/>
    <m/>
    <m/>
  </r>
  <r>
    <d v="2013-10-24T00:00:00"/>
    <s v="Trap 3"/>
    <n v="25"/>
    <x v="1"/>
    <s v="Restored 1"/>
    <x v="15"/>
    <x v="1"/>
    <n v="115"/>
    <m/>
    <m/>
    <m/>
    <m/>
    <m/>
    <m/>
    <m/>
    <m/>
    <m/>
    <m/>
    <m/>
    <m/>
    <m/>
    <m/>
    <m/>
    <m/>
    <m/>
    <m/>
    <m/>
    <m/>
    <m/>
    <m/>
    <m/>
    <m/>
    <m/>
    <m/>
    <x v="0"/>
    <n v="115"/>
    <n v="1"/>
    <n v="1.3"/>
    <m/>
    <m/>
  </r>
  <r>
    <d v="2013-10-24T00:00:00"/>
    <s v="Doughnut Hole"/>
    <n v="25"/>
    <x v="2"/>
    <s v="Wrack Left "/>
    <x v="15"/>
    <x v="1"/>
    <n v="15"/>
    <m/>
    <m/>
    <m/>
    <m/>
    <m/>
    <m/>
    <m/>
    <m/>
    <m/>
    <m/>
    <m/>
    <m/>
    <m/>
    <m/>
    <m/>
    <m/>
    <m/>
    <m/>
    <m/>
    <m/>
    <m/>
    <m/>
    <m/>
    <m/>
    <m/>
    <m/>
    <x v="0"/>
    <n v="15"/>
    <n v="1"/>
    <n v="1.3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03">
  <r>
    <d v="1998-06-02T00:00:00"/>
    <x v="0"/>
    <m/>
    <x v="0"/>
    <x v="0"/>
    <x v="0"/>
    <x v="0"/>
    <n v="16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"/>
    <n v="1"/>
    <n v="3.4"/>
    <m/>
    <m/>
  </r>
  <r>
    <d v="1998-06-02T00:00:00"/>
    <x v="1"/>
    <m/>
    <x v="0"/>
    <x v="0"/>
    <x v="0"/>
    <x v="0"/>
    <n v="27"/>
    <n v="0"/>
    <n v="0"/>
    <n v="0"/>
    <m/>
    <m/>
    <m/>
    <m/>
    <m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"/>
    <n v="2"/>
    <n v="2.27"/>
    <m/>
    <m/>
  </r>
  <r>
    <d v="1998-06-02T00:00:00"/>
    <x v="2"/>
    <m/>
    <x v="0"/>
    <x v="0"/>
    <x v="0"/>
    <x v="0"/>
    <n v="3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"/>
    <n v="3.3"/>
    <m/>
    <m/>
  </r>
  <r>
    <d v="1998-06-02T00:00:00"/>
    <x v="3"/>
    <m/>
    <x v="1"/>
    <x v="1"/>
    <x v="0"/>
    <x v="0"/>
    <n v="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d v="1998-06-03T00:00:00"/>
    <x v="1"/>
    <m/>
    <x v="0"/>
    <x v="0"/>
    <x v="0"/>
    <x v="0"/>
    <n v="8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"/>
    <n v="1"/>
    <n v="2.4"/>
    <m/>
    <m/>
  </r>
  <r>
    <d v="1998-06-03T00:00:00"/>
    <x v="2"/>
    <m/>
    <x v="0"/>
    <x v="0"/>
    <x v="0"/>
    <x v="0"/>
    <n v="26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"/>
    <n v="1"/>
    <n v="3.6"/>
    <m/>
    <m/>
  </r>
  <r>
    <d v="1998-06-03T00:00:00"/>
    <x v="3"/>
    <m/>
    <x v="1"/>
    <x v="1"/>
    <x v="0"/>
    <x v="0"/>
    <n v="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m/>
    <m/>
    <m/>
  </r>
  <r>
    <d v="1998-06-04T00:00:00"/>
    <x v="0"/>
    <m/>
    <x v="0"/>
    <x v="0"/>
    <x v="0"/>
    <x v="0"/>
    <n v="62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"/>
    <n v="1"/>
    <n v="2.1"/>
    <m/>
    <m/>
  </r>
  <r>
    <d v="1998-06-04T00:00:00"/>
    <x v="1"/>
    <m/>
    <x v="0"/>
    <x v="0"/>
    <x v="0"/>
    <x v="0"/>
    <n v="2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"/>
    <m/>
    <m/>
    <m/>
  </r>
  <r>
    <d v="1998-06-04T00:00:00"/>
    <x v="2"/>
    <m/>
    <x v="0"/>
    <x v="0"/>
    <x v="0"/>
    <x v="0"/>
    <n v="36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"/>
    <n v="1"/>
    <n v="1.7"/>
    <m/>
    <m/>
  </r>
  <r>
    <d v="1998-06-04T00:00:00"/>
    <x v="3"/>
    <m/>
    <x v="1"/>
    <x v="1"/>
    <x v="0"/>
    <x v="0"/>
    <n v="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d v="1998-06-09T00:00:00"/>
    <x v="0"/>
    <m/>
    <x v="0"/>
    <x v="0"/>
    <x v="0"/>
    <x v="0"/>
    <n v="15"/>
    <n v="0"/>
    <n v="0"/>
    <n v="0"/>
    <m/>
    <m/>
    <m/>
    <m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"/>
    <n v="3"/>
    <n v="1.6"/>
    <m/>
    <m/>
  </r>
  <r>
    <d v="1998-06-09T00:00:00"/>
    <x v="1"/>
    <m/>
    <x v="0"/>
    <x v="0"/>
    <x v="0"/>
    <x v="0"/>
    <n v="1"/>
    <n v="0"/>
    <n v="0"/>
    <n v="0"/>
    <m/>
    <m/>
    <m/>
    <m/>
    <m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5"/>
    <m/>
    <m/>
  </r>
  <r>
    <d v="1998-06-09T00:00:00"/>
    <x v="2"/>
    <m/>
    <x v="0"/>
    <x v="0"/>
    <x v="0"/>
    <x v="0"/>
    <n v="1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"/>
    <n v="2"/>
    <m/>
    <m/>
  </r>
  <r>
    <d v="1998-06-09T00:00:00"/>
    <x v="3"/>
    <m/>
    <x v="1"/>
    <x v="1"/>
    <x v="0"/>
    <x v="0"/>
    <n v="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d v="1998-06-10T00:00:00"/>
    <x v="0"/>
    <m/>
    <x v="0"/>
    <x v="0"/>
    <x v="0"/>
    <x v="0"/>
    <n v="56"/>
    <n v="0"/>
    <n v="0"/>
    <n v="0"/>
    <m/>
    <m/>
    <m/>
    <m/>
    <m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57"/>
    <n v="2"/>
    <n v="1.6"/>
    <m/>
    <m/>
  </r>
  <r>
    <d v="1998-06-10T00:00:00"/>
    <x v="1"/>
    <m/>
    <x v="0"/>
    <x v="0"/>
    <x v="0"/>
    <x v="0"/>
    <n v="69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"/>
    <n v="1"/>
    <n v="2.17"/>
    <m/>
    <m/>
  </r>
  <r>
    <d v="1998-06-10T00:00:00"/>
    <x v="2"/>
    <m/>
    <x v="0"/>
    <x v="0"/>
    <x v="0"/>
    <x v="0"/>
    <m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.8"/>
    <m/>
    <m/>
  </r>
  <r>
    <d v="1998-06-10T00:00:00"/>
    <x v="3"/>
    <m/>
    <x v="1"/>
    <x v="1"/>
    <x v="0"/>
    <x v="0"/>
    <n v="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d v="1998-06-12T00:00:00"/>
    <x v="0"/>
    <m/>
    <x v="0"/>
    <x v="0"/>
    <x v="0"/>
    <x v="0"/>
    <n v="58"/>
    <n v="0"/>
    <n v="0"/>
    <n v="0"/>
    <m/>
    <m/>
    <m/>
    <m/>
    <m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59"/>
    <n v="1"/>
    <m/>
    <m/>
    <m/>
  </r>
  <r>
    <d v="1998-06-12T00:00:00"/>
    <x v="1"/>
    <m/>
    <x v="0"/>
    <x v="0"/>
    <x v="0"/>
    <x v="0"/>
    <n v="48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"/>
    <n v="1"/>
    <m/>
    <m/>
    <m/>
  </r>
  <r>
    <d v="1998-10-02T00:00:00"/>
    <x v="0"/>
    <n v="26"/>
    <x v="0"/>
    <x v="0"/>
    <x v="0"/>
    <x v="1"/>
    <n v="58"/>
    <n v="0"/>
    <n v="0"/>
    <n v="0"/>
    <m/>
    <m/>
    <m/>
    <m/>
    <m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59"/>
    <n v="2"/>
    <n v="1.6"/>
    <m/>
    <m/>
  </r>
  <r>
    <d v="1998-10-02T00:00:00"/>
    <x v="1"/>
    <n v="25"/>
    <x v="0"/>
    <x v="0"/>
    <x v="0"/>
    <x v="1"/>
    <n v="11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"/>
    <n v="1"/>
    <n v="1.6"/>
    <m/>
    <m/>
  </r>
  <r>
    <d v="1998-10-02T00:00:00"/>
    <x v="3"/>
    <n v="24.5"/>
    <x v="1"/>
    <x v="1"/>
    <x v="0"/>
    <x v="1"/>
    <n v="7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"/>
    <n v="1.4"/>
    <m/>
    <m/>
  </r>
  <r>
    <d v="1998-10-12T00:00:00"/>
    <x v="0"/>
    <n v="12"/>
    <x v="0"/>
    <x v="0"/>
    <x v="0"/>
    <x v="1"/>
    <n v="85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"/>
    <n v="1"/>
    <n v="1.2"/>
    <m/>
    <m/>
  </r>
  <r>
    <d v="1998-10-12T00:00:00"/>
    <x v="1"/>
    <n v="13"/>
    <x v="0"/>
    <x v="0"/>
    <x v="0"/>
    <x v="1"/>
    <n v="22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"/>
    <n v="1"/>
    <n v="1.3"/>
    <m/>
    <m/>
  </r>
  <r>
    <d v="1998-10-12T00:00:00"/>
    <x v="3"/>
    <n v="13"/>
    <x v="1"/>
    <x v="1"/>
    <x v="0"/>
    <x v="1"/>
    <n v="2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"/>
    <n v="1.3"/>
    <m/>
    <m/>
  </r>
  <r>
    <d v="1998-10-13T00:00:00"/>
    <x v="0"/>
    <n v="11"/>
    <x v="0"/>
    <x v="0"/>
    <x v="0"/>
    <x v="1"/>
    <n v="18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"/>
    <n v="1"/>
    <n v="1.1000000000000001"/>
    <m/>
    <m/>
  </r>
  <r>
    <d v="1998-10-13T00:00:00"/>
    <x v="1"/>
    <n v="10"/>
    <x v="0"/>
    <x v="0"/>
    <x v="0"/>
    <x v="1"/>
    <n v="83"/>
    <n v="0"/>
    <n v="1"/>
    <n v="0"/>
    <m/>
    <m/>
    <m/>
    <m/>
    <m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85"/>
    <n v="3"/>
    <n v="1.2"/>
    <m/>
    <m/>
  </r>
  <r>
    <d v="1998-10-13T00:00:00"/>
    <x v="3"/>
    <n v="11"/>
    <x v="1"/>
    <x v="1"/>
    <x v="0"/>
    <x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"/>
    <n v="1.1000000000000001"/>
    <m/>
    <m/>
  </r>
  <r>
    <d v="1998-10-14T00:00:00"/>
    <x v="0"/>
    <n v="11"/>
    <x v="0"/>
    <x v="0"/>
    <x v="0"/>
    <x v="1"/>
    <n v="90"/>
    <n v="0"/>
    <n v="0"/>
    <n v="1"/>
    <m/>
    <m/>
    <m/>
    <m/>
    <m/>
    <n v="0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96"/>
    <n v="4"/>
    <n v="1.2"/>
    <m/>
    <m/>
  </r>
  <r>
    <d v="1998-10-14T00:00:00"/>
    <x v="1"/>
    <n v="11"/>
    <x v="0"/>
    <x v="0"/>
    <x v="0"/>
    <x v="1"/>
    <n v="9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"/>
    <n v="1.3"/>
    <m/>
    <m/>
  </r>
  <r>
    <d v="1998-10-14T00:00:00"/>
    <x v="3"/>
    <n v="11"/>
    <x v="1"/>
    <x v="1"/>
    <x v="0"/>
    <x v="1"/>
    <n v="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d v="1999-10-19T00:00:00"/>
    <x v="0"/>
    <n v="20"/>
    <x v="0"/>
    <x v="0"/>
    <x v="1"/>
    <x v="1"/>
    <n v="86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"/>
    <m/>
    <n v="1.91"/>
    <m/>
    <m/>
  </r>
  <r>
    <d v="1999-10-19T00:00:00"/>
    <x v="1"/>
    <n v="21.5"/>
    <x v="0"/>
    <x v="0"/>
    <x v="1"/>
    <x v="1"/>
    <n v="138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8"/>
    <m/>
    <n v="1.95"/>
    <m/>
    <m/>
  </r>
  <r>
    <d v="1999-10-19T00:00:00"/>
    <x v="3"/>
    <n v="21.5"/>
    <x v="1"/>
    <x v="1"/>
    <x v="1"/>
    <x v="1"/>
    <n v="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d v="1999-10-21T00:00:00"/>
    <x v="1"/>
    <n v="0"/>
    <x v="0"/>
    <x v="0"/>
    <x v="1"/>
    <x v="1"/>
    <n v="72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"/>
    <m/>
    <n v="2.15"/>
    <m/>
    <m/>
  </r>
  <r>
    <d v="1999-10-21T00:00:00"/>
    <x v="3"/>
    <m/>
    <x v="1"/>
    <x v="1"/>
    <x v="1"/>
    <x v="1"/>
    <n v="12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"/>
    <m/>
    <n v="1.25"/>
    <m/>
    <m/>
  </r>
  <r>
    <d v="1999-10-21T00:00:00"/>
    <x v="4"/>
    <m/>
    <x v="2"/>
    <x v="2"/>
    <x v="1"/>
    <x v="1"/>
    <n v="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d v="1999-10-21T00:00:00"/>
    <x v="5"/>
    <n v="23.5"/>
    <x v="2"/>
    <x v="2"/>
    <x v="1"/>
    <x v="1"/>
    <n v="285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5"/>
    <m/>
    <n v="1.8"/>
    <m/>
    <m/>
  </r>
  <r>
    <d v="1999-10-25T00:00:00"/>
    <x v="2"/>
    <n v="20"/>
    <x v="0"/>
    <x v="0"/>
    <x v="1"/>
    <x v="1"/>
    <m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3.21"/>
    <m/>
    <m/>
  </r>
  <r>
    <d v="1999-10-25T00:00:00"/>
    <x v="3"/>
    <n v="3.5"/>
    <x v="1"/>
    <x v="1"/>
    <x v="1"/>
    <x v="1"/>
    <n v="13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"/>
    <m/>
    <n v="2.84"/>
    <m/>
    <m/>
  </r>
  <r>
    <d v="1999-10-25T00:00:00"/>
    <x v="4"/>
    <n v="2.5"/>
    <x v="2"/>
    <x v="2"/>
    <x v="1"/>
    <x v="1"/>
    <n v="74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"/>
    <m/>
    <n v="2.2200000000000002"/>
    <m/>
    <m/>
  </r>
  <r>
    <d v="1999-10-25T00:00:00"/>
    <x v="5"/>
    <m/>
    <x v="2"/>
    <x v="2"/>
    <x v="1"/>
    <x v="1"/>
    <n v="21"/>
    <n v="0"/>
    <n v="0"/>
    <n v="0"/>
    <m/>
    <m/>
    <m/>
    <m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"/>
    <m/>
    <n v="3.81"/>
    <m/>
    <m/>
  </r>
  <r>
    <d v="1999-10-26T00:00:00"/>
    <x v="0"/>
    <n v="26"/>
    <x v="0"/>
    <x v="0"/>
    <x v="1"/>
    <x v="1"/>
    <n v="24"/>
    <n v="0"/>
    <n v="0"/>
    <n v="0"/>
    <m/>
    <m/>
    <m/>
    <m/>
    <m/>
    <n v="0"/>
    <n v="0"/>
    <n v="0"/>
    <n v="0"/>
    <n v="0"/>
    <n v="0"/>
    <n v="0"/>
    <n v="0"/>
    <n v="10"/>
    <n v="0"/>
    <n v="0"/>
    <n v="0"/>
    <n v="0"/>
    <n v="0"/>
    <n v="0"/>
    <n v="0"/>
    <n v="0"/>
    <n v="0"/>
    <n v="0"/>
    <n v="34"/>
    <m/>
    <n v="2.54"/>
    <m/>
    <m/>
  </r>
  <r>
    <d v="1999-10-26T00:00:00"/>
    <x v="1"/>
    <n v="26"/>
    <x v="0"/>
    <x v="0"/>
    <x v="1"/>
    <x v="1"/>
    <n v="23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"/>
    <m/>
    <n v="2.6"/>
    <m/>
    <m/>
  </r>
  <r>
    <d v="1999-10-26T00:00:00"/>
    <x v="2"/>
    <n v="18.5"/>
    <x v="0"/>
    <x v="0"/>
    <x v="1"/>
    <x v="1"/>
    <n v="38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"/>
    <m/>
    <n v="3.3"/>
    <m/>
    <m/>
  </r>
  <r>
    <d v="1999-10-26T00:00:00"/>
    <x v="3"/>
    <n v="19.5"/>
    <x v="1"/>
    <x v="1"/>
    <x v="1"/>
    <x v="1"/>
    <n v="8"/>
    <n v="0"/>
    <n v="0"/>
    <n v="0"/>
    <m/>
    <m/>
    <m/>
    <m/>
    <m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9"/>
    <m/>
    <n v="2.5"/>
    <m/>
    <m/>
  </r>
  <r>
    <d v="1999-10-26T00:00:00"/>
    <x v="4"/>
    <n v="18.5"/>
    <x v="2"/>
    <x v="2"/>
    <x v="1"/>
    <x v="1"/>
    <n v="234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4"/>
    <m/>
    <n v="2.48"/>
    <m/>
    <m/>
  </r>
  <r>
    <d v="1999-10-26T00:00:00"/>
    <x v="5"/>
    <n v="18.5"/>
    <x v="2"/>
    <x v="2"/>
    <x v="1"/>
    <x v="1"/>
    <n v="341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1"/>
    <m/>
    <n v="2.41"/>
    <m/>
    <m/>
  </r>
  <r>
    <d v="1999-10-27T00:00:00"/>
    <x v="2"/>
    <n v="25.5"/>
    <x v="0"/>
    <x v="0"/>
    <x v="1"/>
    <x v="1"/>
    <n v="96"/>
    <n v="0"/>
    <n v="0"/>
    <n v="0"/>
    <m/>
    <m/>
    <m/>
    <m/>
    <m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99"/>
    <m/>
    <n v="2.86"/>
    <m/>
    <m/>
  </r>
  <r>
    <d v="2000-05-22T00:00:00"/>
    <x v="4"/>
    <m/>
    <x v="2"/>
    <x v="2"/>
    <x v="2"/>
    <x v="0"/>
    <n v="155"/>
    <n v="0"/>
    <n v="3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"/>
    <n v="2"/>
    <n v="3.3"/>
    <m/>
    <m/>
  </r>
  <r>
    <d v="2000-05-22T00:00:00"/>
    <x v="0"/>
    <m/>
    <x v="0"/>
    <x v="0"/>
    <x v="2"/>
    <x v="0"/>
    <n v="68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"/>
    <n v="1"/>
    <n v="2.57"/>
    <m/>
    <m/>
  </r>
  <r>
    <d v="2000-05-22T00:00:00"/>
    <x v="1"/>
    <m/>
    <x v="0"/>
    <x v="0"/>
    <x v="2"/>
    <x v="0"/>
    <n v="97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"/>
    <n v="1"/>
    <n v="2.57"/>
    <m/>
    <m/>
  </r>
  <r>
    <d v="2000-05-22T00:00:00"/>
    <x v="3"/>
    <m/>
    <x v="1"/>
    <x v="1"/>
    <x v="2"/>
    <x v="0"/>
    <n v="4"/>
    <n v="0"/>
    <n v="0"/>
    <n v="0"/>
    <m/>
    <m/>
    <m/>
    <m/>
    <m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7"/>
    <n v="2"/>
    <n v="5"/>
    <m/>
    <m/>
  </r>
  <r>
    <d v="2000-05-23T00:00:00"/>
    <x v="4"/>
    <m/>
    <x v="2"/>
    <x v="2"/>
    <x v="2"/>
    <x v="0"/>
    <n v="184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4"/>
    <n v="1"/>
    <n v="5"/>
    <m/>
    <m/>
  </r>
  <r>
    <d v="2000-05-23T00:00:00"/>
    <x v="5"/>
    <m/>
    <x v="2"/>
    <x v="2"/>
    <x v="2"/>
    <x v="0"/>
    <n v="229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9"/>
    <n v="1"/>
    <n v="5"/>
    <m/>
    <m/>
  </r>
  <r>
    <d v="2000-05-23T00:00:00"/>
    <x v="0"/>
    <m/>
    <x v="0"/>
    <x v="0"/>
    <x v="2"/>
    <x v="0"/>
    <n v="87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"/>
    <n v="1"/>
    <n v="3.32"/>
    <m/>
    <m/>
  </r>
  <r>
    <d v="2000-05-23T00:00:00"/>
    <x v="1"/>
    <m/>
    <x v="0"/>
    <x v="0"/>
    <x v="2"/>
    <x v="0"/>
    <n v="106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"/>
    <n v="1"/>
    <n v="2.35"/>
    <m/>
    <m/>
  </r>
  <r>
    <d v="2000-05-23T00:00:00"/>
    <x v="2"/>
    <m/>
    <x v="0"/>
    <x v="0"/>
    <x v="2"/>
    <x v="0"/>
    <n v="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d v="2000-05-23T00:00:00"/>
    <x v="3"/>
    <m/>
    <x v="1"/>
    <x v="1"/>
    <x v="2"/>
    <x v="0"/>
    <n v="1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"/>
    <n v="2"/>
    <n v="2.5"/>
    <m/>
    <m/>
  </r>
  <r>
    <d v="2000-05-25T00:00:00"/>
    <x v="4"/>
    <m/>
    <x v="2"/>
    <x v="2"/>
    <x v="2"/>
    <x v="0"/>
    <n v="89"/>
    <n v="0"/>
    <n v="1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"/>
    <n v="2"/>
    <n v="2.2000000000000002"/>
    <m/>
    <m/>
  </r>
  <r>
    <d v="2000-05-25T00:00:00"/>
    <x v="5"/>
    <m/>
    <x v="2"/>
    <x v="2"/>
    <x v="2"/>
    <x v="0"/>
    <n v="215"/>
    <n v="0"/>
    <n v="0"/>
    <n v="0"/>
    <m/>
    <m/>
    <m/>
    <m/>
    <m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16"/>
    <n v="2"/>
    <n v="4.3"/>
    <m/>
    <m/>
  </r>
  <r>
    <d v="2000-05-25T00:00:00"/>
    <x v="0"/>
    <m/>
    <x v="0"/>
    <x v="0"/>
    <x v="2"/>
    <x v="0"/>
    <n v="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d v="2000-05-25T00:00:00"/>
    <x v="1"/>
    <m/>
    <x v="0"/>
    <x v="0"/>
    <x v="2"/>
    <x v="0"/>
    <n v="2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"/>
    <m/>
    <m/>
    <m/>
  </r>
  <r>
    <d v="2000-05-25T00:00:00"/>
    <x v="2"/>
    <m/>
    <x v="0"/>
    <x v="0"/>
    <x v="2"/>
    <x v="0"/>
    <n v="4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"/>
    <m/>
    <m/>
    <m/>
  </r>
  <r>
    <d v="2000-05-25T00:00:00"/>
    <x v="3"/>
    <m/>
    <x v="1"/>
    <x v="1"/>
    <x v="2"/>
    <x v="0"/>
    <n v="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d v="2000-05-26T00:00:00"/>
    <x v="2"/>
    <m/>
    <x v="0"/>
    <x v="0"/>
    <x v="2"/>
    <x v="0"/>
    <n v="66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"/>
    <n v="1"/>
    <n v="2.7"/>
    <m/>
    <m/>
  </r>
  <r>
    <d v="2000-05-26T00:00:00"/>
    <x v="3"/>
    <m/>
    <x v="1"/>
    <x v="1"/>
    <x v="2"/>
    <x v="0"/>
    <m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d v="2000-09-18T00:00:00"/>
    <x v="4"/>
    <m/>
    <x v="2"/>
    <x v="2"/>
    <x v="2"/>
    <x v="1"/>
    <n v="105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"/>
    <n v="1"/>
    <n v="1.19"/>
    <m/>
    <m/>
  </r>
  <r>
    <d v="2000-09-18T00:00:00"/>
    <x v="5"/>
    <m/>
    <x v="2"/>
    <x v="2"/>
    <x v="2"/>
    <x v="1"/>
    <n v="264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4"/>
    <n v="1"/>
    <n v="4.45"/>
    <m/>
    <m/>
  </r>
  <r>
    <d v="2000-09-18T00:00:00"/>
    <x v="0"/>
    <m/>
    <x v="0"/>
    <x v="0"/>
    <x v="2"/>
    <x v="1"/>
    <n v="22"/>
    <n v="0"/>
    <n v="0"/>
    <n v="0"/>
    <m/>
    <m/>
    <m/>
    <m/>
    <m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24"/>
    <n v="2"/>
    <n v="1.2"/>
    <m/>
    <m/>
  </r>
  <r>
    <d v="2000-09-18T00:00:00"/>
    <x v="1"/>
    <m/>
    <x v="0"/>
    <x v="0"/>
    <x v="2"/>
    <x v="1"/>
    <n v="3"/>
    <n v="0"/>
    <n v="0"/>
    <n v="0"/>
    <m/>
    <m/>
    <m/>
    <m/>
    <m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4"/>
    <n v="2"/>
    <n v="1.67"/>
    <m/>
    <m/>
  </r>
  <r>
    <d v="2000-09-18T00:00:00"/>
    <x v="2"/>
    <m/>
    <x v="0"/>
    <x v="0"/>
    <x v="2"/>
    <x v="1"/>
    <n v="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d v="2000-09-18T00:00:00"/>
    <x v="3"/>
    <m/>
    <x v="1"/>
    <x v="1"/>
    <x v="2"/>
    <x v="1"/>
    <n v="1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2.5"/>
    <m/>
    <m/>
  </r>
  <r>
    <d v="2000-09-19T00:00:00"/>
    <x v="4"/>
    <m/>
    <x v="2"/>
    <x v="2"/>
    <x v="2"/>
    <x v="1"/>
    <n v="91"/>
    <n v="0"/>
    <n v="0"/>
    <n v="0"/>
    <m/>
    <m/>
    <m/>
    <m/>
    <m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93"/>
    <n v="2"/>
    <n v="1.1000000000000001"/>
    <m/>
    <m/>
  </r>
  <r>
    <d v="2000-09-19T00:00:00"/>
    <x v="5"/>
    <m/>
    <x v="2"/>
    <x v="2"/>
    <x v="2"/>
    <x v="1"/>
    <n v="358"/>
    <n v="0"/>
    <n v="0"/>
    <n v="0"/>
    <m/>
    <m/>
    <m/>
    <m/>
    <m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360"/>
    <n v="2"/>
    <n v="2.65"/>
    <m/>
    <m/>
  </r>
  <r>
    <d v="2000-09-19T00:00:00"/>
    <x v="0"/>
    <m/>
    <x v="0"/>
    <x v="0"/>
    <x v="2"/>
    <x v="1"/>
    <n v="98"/>
    <n v="0"/>
    <n v="0"/>
    <n v="0"/>
    <m/>
    <m/>
    <m/>
    <m/>
    <m/>
    <n v="0"/>
    <n v="0"/>
    <n v="0"/>
    <n v="0"/>
    <n v="0"/>
    <n v="0"/>
    <n v="0"/>
    <n v="0"/>
    <n v="8"/>
    <n v="0"/>
    <n v="0"/>
    <n v="0"/>
    <n v="0"/>
    <n v="0"/>
    <n v="0"/>
    <n v="0"/>
    <n v="0"/>
    <n v="0"/>
    <n v="0"/>
    <n v="106"/>
    <n v="2"/>
    <n v="2.6"/>
    <m/>
    <m/>
  </r>
  <r>
    <d v="2000-09-19T00:00:00"/>
    <x v="1"/>
    <m/>
    <x v="0"/>
    <x v="0"/>
    <x v="2"/>
    <x v="1"/>
    <n v="77"/>
    <n v="0"/>
    <n v="0"/>
    <n v="0"/>
    <m/>
    <m/>
    <m/>
    <m/>
    <m/>
    <n v="0"/>
    <n v="0"/>
    <n v="0"/>
    <n v="0"/>
    <n v="0"/>
    <n v="0"/>
    <n v="0"/>
    <n v="0"/>
    <n v="11"/>
    <n v="0"/>
    <n v="0"/>
    <n v="0"/>
    <n v="0"/>
    <n v="0"/>
    <n v="0"/>
    <n v="0"/>
    <n v="0"/>
    <n v="0"/>
    <n v="0"/>
    <n v="88"/>
    <n v="2"/>
    <n v="1.97"/>
    <m/>
    <m/>
  </r>
  <r>
    <d v="2000-09-19T00:00:00"/>
    <x v="2"/>
    <m/>
    <x v="0"/>
    <x v="0"/>
    <x v="2"/>
    <x v="1"/>
    <n v="67"/>
    <n v="0"/>
    <n v="0"/>
    <n v="0"/>
    <m/>
    <m/>
    <m/>
    <m/>
    <m/>
    <n v="0"/>
    <n v="0"/>
    <n v="0"/>
    <n v="0"/>
    <n v="0"/>
    <n v="0"/>
    <n v="0"/>
    <n v="0"/>
    <n v="22"/>
    <n v="0"/>
    <n v="0"/>
    <n v="0"/>
    <n v="0"/>
    <n v="0"/>
    <n v="0"/>
    <n v="0"/>
    <n v="0"/>
    <n v="0"/>
    <n v="0"/>
    <n v="89"/>
    <n v="2"/>
    <n v="2.8"/>
    <m/>
    <m/>
  </r>
  <r>
    <d v="2000-09-19T00:00:00"/>
    <x v="3"/>
    <m/>
    <x v="1"/>
    <x v="1"/>
    <x v="2"/>
    <x v="1"/>
    <n v="2"/>
    <n v="0"/>
    <n v="0"/>
    <n v="0"/>
    <m/>
    <m/>
    <m/>
    <m/>
    <m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3"/>
    <n v="2"/>
    <n v="2.5"/>
    <m/>
    <m/>
  </r>
  <r>
    <d v="2000-09-21T00:00:00"/>
    <x v="4"/>
    <m/>
    <x v="2"/>
    <x v="2"/>
    <x v="2"/>
    <x v="1"/>
    <n v="65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"/>
    <n v="1"/>
    <n v="2.29"/>
    <m/>
    <m/>
  </r>
  <r>
    <d v="2000-09-21T00:00:00"/>
    <x v="5"/>
    <m/>
    <x v="2"/>
    <x v="2"/>
    <x v="2"/>
    <x v="1"/>
    <n v="244"/>
    <n v="0"/>
    <n v="0"/>
    <n v="1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5"/>
    <n v="2"/>
    <n v="3.42"/>
    <m/>
    <m/>
  </r>
  <r>
    <d v="2000-09-21T00:00:00"/>
    <x v="0"/>
    <m/>
    <x v="0"/>
    <x v="0"/>
    <x v="2"/>
    <x v="1"/>
    <m/>
    <n v="0"/>
    <n v="0"/>
    <n v="0"/>
    <m/>
    <m/>
    <m/>
    <m/>
    <m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1"/>
    <m/>
    <m/>
    <m/>
  </r>
  <r>
    <d v="2000-09-21T00:00:00"/>
    <x v="1"/>
    <m/>
    <x v="0"/>
    <x v="0"/>
    <x v="2"/>
    <x v="1"/>
    <n v="70"/>
    <n v="0"/>
    <n v="0"/>
    <n v="0"/>
    <m/>
    <m/>
    <m/>
    <m/>
    <m/>
    <n v="0"/>
    <n v="0"/>
    <n v="0"/>
    <n v="0"/>
    <n v="0"/>
    <n v="0"/>
    <n v="0"/>
    <n v="0"/>
    <n v="6"/>
    <n v="2"/>
    <n v="0"/>
    <n v="0"/>
    <n v="0"/>
    <n v="0"/>
    <n v="0"/>
    <n v="0"/>
    <n v="0"/>
    <n v="0"/>
    <n v="0"/>
    <n v="78"/>
    <n v="3"/>
    <n v="1.7"/>
    <m/>
    <m/>
  </r>
  <r>
    <d v="2000-09-21T00:00:00"/>
    <x v="2"/>
    <m/>
    <x v="0"/>
    <x v="0"/>
    <x v="2"/>
    <x v="1"/>
    <n v="125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5"/>
    <n v="1"/>
    <n v="2"/>
    <m/>
    <m/>
  </r>
  <r>
    <d v="2000-09-21T00:00:00"/>
    <x v="3"/>
    <m/>
    <x v="1"/>
    <x v="1"/>
    <x v="2"/>
    <x v="1"/>
    <n v="2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1"/>
    <n v="3.5"/>
    <m/>
    <m/>
  </r>
  <r>
    <d v="2000-09-29T00:00:00"/>
    <x v="0"/>
    <m/>
    <x v="0"/>
    <x v="0"/>
    <x v="2"/>
    <x v="1"/>
    <n v="4"/>
    <n v="0"/>
    <n v="0"/>
    <n v="0"/>
    <m/>
    <m/>
    <m/>
    <m/>
    <m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5"/>
    <n v="2"/>
    <n v="1.5"/>
    <m/>
    <m/>
  </r>
  <r>
    <d v="2000-09-29T00:00:00"/>
    <x v="1"/>
    <m/>
    <x v="0"/>
    <x v="0"/>
    <x v="2"/>
    <x v="1"/>
    <n v="2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"/>
    <n v="2"/>
    <m/>
    <m/>
  </r>
  <r>
    <d v="2000-09-29T00:00:00"/>
    <x v="2"/>
    <m/>
    <x v="0"/>
    <x v="0"/>
    <x v="2"/>
    <x v="1"/>
    <n v="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d v="2000-09-29T00:00:00"/>
    <x v="3"/>
    <m/>
    <x v="1"/>
    <x v="1"/>
    <x v="2"/>
    <x v="1"/>
    <n v="15"/>
    <n v="0"/>
    <n v="0"/>
    <n v="0"/>
    <m/>
    <m/>
    <m/>
    <m/>
    <m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18"/>
    <n v="2"/>
    <n v="2.66"/>
    <m/>
    <m/>
  </r>
  <r>
    <d v="2000-09-29T00:00:00"/>
    <x v="4"/>
    <m/>
    <x v="2"/>
    <x v="2"/>
    <x v="2"/>
    <x v="1"/>
    <n v="293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3"/>
    <n v="1"/>
    <n v="2.86"/>
    <m/>
    <m/>
  </r>
  <r>
    <d v="2000-09-29T00:00:00"/>
    <x v="5"/>
    <m/>
    <x v="2"/>
    <x v="2"/>
    <x v="2"/>
    <x v="1"/>
    <n v="326"/>
    <n v="0"/>
    <n v="0"/>
    <n v="0"/>
    <m/>
    <m/>
    <m/>
    <m/>
    <m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327"/>
    <n v="2"/>
    <n v="2.98"/>
    <m/>
    <m/>
  </r>
  <r>
    <d v="2001-04-02T00:00:00"/>
    <x v="2"/>
    <m/>
    <x v="0"/>
    <x v="0"/>
    <x v="3"/>
    <x v="0"/>
    <n v="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d v="2001-04-02T00:00:00"/>
    <x v="3"/>
    <m/>
    <x v="1"/>
    <x v="1"/>
    <x v="3"/>
    <x v="0"/>
    <n v="0"/>
    <n v="0"/>
    <n v="0"/>
    <n v="1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m/>
    <m/>
    <m/>
  </r>
  <r>
    <d v="2001-04-02T00:00:00"/>
    <x v="4"/>
    <m/>
    <x v="2"/>
    <x v="2"/>
    <x v="3"/>
    <x v="0"/>
    <n v="0"/>
    <n v="0"/>
    <n v="2"/>
    <n v="3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"/>
    <m/>
    <m/>
    <m/>
  </r>
  <r>
    <d v="2001-04-02T00:00:00"/>
    <x v="5"/>
    <m/>
    <x v="2"/>
    <x v="2"/>
    <x v="3"/>
    <x v="0"/>
    <n v="45"/>
    <n v="0"/>
    <n v="6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"/>
    <n v="2"/>
    <n v="1.8888888888888888"/>
    <m/>
    <m/>
  </r>
  <r>
    <d v="2001-06-11T00:00:00"/>
    <x v="0"/>
    <m/>
    <x v="0"/>
    <x v="0"/>
    <x v="3"/>
    <x v="0"/>
    <n v="182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2"/>
    <n v="1"/>
    <n v="3.5714285714285716"/>
    <m/>
    <m/>
  </r>
  <r>
    <d v="2001-06-11T00:00:00"/>
    <x v="1"/>
    <m/>
    <x v="0"/>
    <x v="0"/>
    <x v="3"/>
    <x v="0"/>
    <n v="95"/>
    <n v="0"/>
    <n v="0"/>
    <n v="0"/>
    <m/>
    <m/>
    <m/>
    <m/>
    <m/>
    <n v="0"/>
    <n v="0"/>
    <n v="0"/>
    <n v="0"/>
    <n v="0"/>
    <n v="0"/>
    <n v="0"/>
    <n v="0"/>
    <n v="1"/>
    <n v="0"/>
    <n v="0"/>
    <n v="0"/>
    <n v="1"/>
    <n v="1"/>
    <n v="0"/>
    <n v="0"/>
    <n v="0"/>
    <n v="0"/>
    <n v="0"/>
    <n v="98"/>
    <n v="4"/>
    <n v="3.4210526315789473"/>
    <m/>
    <n v="2"/>
  </r>
  <r>
    <d v="2001-06-11T00:00:00"/>
    <x v="2"/>
    <m/>
    <x v="0"/>
    <x v="0"/>
    <x v="3"/>
    <x v="0"/>
    <n v="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d v="2001-06-11T00:00:00"/>
    <x v="3"/>
    <m/>
    <x v="1"/>
    <x v="1"/>
    <x v="3"/>
    <x v="0"/>
    <n v="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d v="2001-06-11T00:00:00"/>
    <x v="4"/>
    <m/>
    <x v="2"/>
    <x v="2"/>
    <x v="3"/>
    <x v="0"/>
    <n v="82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"/>
    <n v="1"/>
    <n v="1.9512195121951219"/>
    <m/>
    <m/>
  </r>
  <r>
    <d v="2001-06-11T00:00:00"/>
    <x v="5"/>
    <m/>
    <x v="2"/>
    <x v="2"/>
    <x v="3"/>
    <x v="0"/>
    <s v="~10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"/>
    <n v="1"/>
    <m/>
    <m/>
    <m/>
  </r>
  <r>
    <d v="2001-06-12T00:00:00"/>
    <x v="0"/>
    <m/>
    <x v="0"/>
    <x v="0"/>
    <x v="3"/>
    <x v="0"/>
    <n v="84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"/>
    <n v="1"/>
    <n v="3.5714285714285716"/>
    <m/>
    <m/>
  </r>
  <r>
    <d v="2001-06-12T00:00:00"/>
    <x v="1"/>
    <m/>
    <x v="0"/>
    <x v="0"/>
    <x v="3"/>
    <x v="0"/>
    <n v="47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48"/>
    <n v="2"/>
    <n v="4.042553191489362"/>
    <m/>
    <m/>
  </r>
  <r>
    <d v="2001-06-12T00:00:00"/>
    <x v="2"/>
    <m/>
    <x v="0"/>
    <x v="0"/>
    <x v="3"/>
    <x v="0"/>
    <n v="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d v="2001-06-12T00:00:00"/>
    <x v="3"/>
    <m/>
    <x v="1"/>
    <x v="1"/>
    <x v="3"/>
    <x v="0"/>
    <n v="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d v="2001-06-12T00:00:00"/>
    <x v="4"/>
    <m/>
    <x v="2"/>
    <x v="2"/>
    <x v="3"/>
    <x v="0"/>
    <n v="137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7"/>
    <n v="1"/>
    <n v="1.9562043795620438"/>
    <m/>
    <m/>
  </r>
  <r>
    <d v="2001-06-12T00:00:00"/>
    <x v="4"/>
    <m/>
    <x v="2"/>
    <x v="2"/>
    <x v="3"/>
    <x v="0"/>
    <n v="36"/>
    <n v="0"/>
    <n v="1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"/>
    <n v="2"/>
    <n v="2.3611111111111112"/>
    <m/>
    <m/>
  </r>
  <r>
    <d v="2001-06-13T00:00:00"/>
    <x v="0"/>
    <m/>
    <x v="0"/>
    <x v="0"/>
    <x v="3"/>
    <x v="0"/>
    <n v="179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"/>
    <n v="1"/>
    <n v="3.6312849162011172"/>
    <m/>
    <m/>
  </r>
  <r>
    <d v="2001-06-13T00:00:00"/>
    <x v="1"/>
    <m/>
    <x v="0"/>
    <x v="0"/>
    <x v="3"/>
    <x v="0"/>
    <n v="82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"/>
    <n v="1"/>
    <n v="3.8414634146341462"/>
    <m/>
    <m/>
  </r>
  <r>
    <d v="2001-06-13T00:00:00"/>
    <x v="2"/>
    <m/>
    <x v="0"/>
    <x v="0"/>
    <x v="3"/>
    <x v="0"/>
    <n v="1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3"/>
    <m/>
    <m/>
  </r>
  <r>
    <d v="2001-06-13T00:00:00"/>
    <x v="3"/>
    <m/>
    <x v="1"/>
    <x v="1"/>
    <x v="3"/>
    <x v="0"/>
    <n v="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d v="2001-06-13T00:00:00"/>
    <x v="4"/>
    <m/>
    <x v="2"/>
    <x v="2"/>
    <x v="3"/>
    <x v="0"/>
    <n v="92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"/>
    <n v="1"/>
    <n v="1.7391304347826086"/>
    <m/>
    <m/>
  </r>
  <r>
    <d v="2001-06-13T00:00:00"/>
    <x v="4"/>
    <m/>
    <x v="2"/>
    <x v="2"/>
    <x v="3"/>
    <x v="0"/>
    <n v="3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"/>
    <n v="2.7666666666666671"/>
    <m/>
    <m/>
  </r>
  <r>
    <d v="2001-06-14T00:00:00"/>
    <x v="0"/>
    <m/>
    <x v="0"/>
    <x v="0"/>
    <x v="3"/>
    <x v="0"/>
    <n v="123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4"/>
    <n v="0"/>
    <n v="0"/>
    <n v="0"/>
    <n v="0"/>
    <n v="0"/>
    <n v="127"/>
    <n v="2"/>
    <n v="5.8943089430894311"/>
    <m/>
    <m/>
  </r>
  <r>
    <d v="2001-06-14T00:00:00"/>
    <x v="1"/>
    <m/>
    <x v="0"/>
    <x v="0"/>
    <x v="3"/>
    <x v="0"/>
    <n v="59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60"/>
    <n v="2"/>
    <n v="3.1355932203389831"/>
    <m/>
    <m/>
  </r>
  <r>
    <d v="2001-06-14T00:00:00"/>
    <x v="2"/>
    <m/>
    <x v="0"/>
    <x v="0"/>
    <x v="3"/>
    <x v="0"/>
    <n v="1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4"/>
    <n v="2"/>
    <n v="3"/>
    <m/>
    <m/>
  </r>
  <r>
    <d v="2001-06-14T00:00:00"/>
    <x v="3"/>
    <m/>
    <x v="1"/>
    <x v="1"/>
    <x v="3"/>
    <x v="0"/>
    <n v="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d v="2001-06-14T00:00:00"/>
    <x v="4"/>
    <m/>
    <x v="2"/>
    <x v="2"/>
    <x v="3"/>
    <x v="0"/>
    <n v="32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34"/>
    <n v="2"/>
    <n v="2.71875"/>
    <m/>
    <m/>
  </r>
  <r>
    <d v="2001-06-14T00:00:00"/>
    <x v="4"/>
    <m/>
    <x v="2"/>
    <x v="2"/>
    <x v="3"/>
    <x v="0"/>
    <n v="42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44"/>
    <n v="2"/>
    <n v="3.0952380952380953"/>
    <m/>
    <m/>
  </r>
  <r>
    <d v="2001-09-27T00:00:00"/>
    <x v="3"/>
    <n v="22.17"/>
    <x v="1"/>
    <x v="1"/>
    <x v="3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d v="2001-09-27T00:00:00"/>
    <x v="0"/>
    <n v="22.17"/>
    <x v="0"/>
    <x v="0"/>
    <x v="3"/>
    <x v="1"/>
    <n v="225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231"/>
    <n v="2"/>
    <n v="2.088888888888889"/>
    <m/>
    <n v="3.3333333333333335"/>
  </r>
  <r>
    <d v="2001-09-27T00:00:00"/>
    <x v="5"/>
    <n v="18.5"/>
    <x v="2"/>
    <x v="2"/>
    <x v="3"/>
    <x v="1"/>
    <n v="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8"/>
    <n v="2"/>
    <n v="1.4285714285714286"/>
    <m/>
    <n v="6"/>
  </r>
  <r>
    <d v="2001-09-27T00:00:00"/>
    <x v="4"/>
    <n v="18.5"/>
    <x v="2"/>
    <x v="2"/>
    <x v="3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2"/>
    <n v="1"/>
    <m/>
    <m/>
    <n v="1.4"/>
  </r>
  <r>
    <d v="2001-09-28T00:00:00"/>
    <x v="2"/>
    <n v="24"/>
    <x v="0"/>
    <x v="0"/>
    <x v="3"/>
    <x v="1"/>
    <n v="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1"/>
    <n v="2"/>
    <n v="2"/>
    <m/>
    <n v="2"/>
  </r>
  <r>
    <d v="2001-09-28T00:00:00"/>
    <x v="3"/>
    <n v="24"/>
    <x v="1"/>
    <x v="1"/>
    <x v="3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d v="2001-09-28T00:00:00"/>
    <x v="5"/>
    <n v="24.33"/>
    <x v="2"/>
    <x v="2"/>
    <x v="3"/>
    <x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"/>
    <n v="1.3333333333333333"/>
    <m/>
    <m/>
  </r>
  <r>
    <d v="2001-09-28T00:00:00"/>
    <x v="4"/>
    <n v="24.5"/>
    <x v="2"/>
    <x v="2"/>
    <x v="3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2"/>
    <n v="1"/>
    <m/>
    <m/>
    <n v="3.5"/>
  </r>
  <r>
    <d v="2001-10-03T00:00:00"/>
    <x v="0"/>
    <n v="17.170000000000002"/>
    <x v="0"/>
    <x v="0"/>
    <x v="3"/>
    <x v="1"/>
    <n v="1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3"/>
    <n v="2"/>
    <n v="1.6666666666666667"/>
    <m/>
    <n v="2.5"/>
  </r>
  <r>
    <d v="2001-10-03T00:00:00"/>
    <x v="1"/>
    <n v="17.170000000000002"/>
    <x v="0"/>
    <x v="0"/>
    <x v="3"/>
    <x v="1"/>
    <n v="45"/>
    <n v="0"/>
    <n v="0"/>
    <n v="0"/>
    <n v="0"/>
    <n v="0"/>
    <n v="0"/>
    <n v="0"/>
    <n v="0"/>
    <n v="0"/>
    <n v="0"/>
    <n v="0"/>
    <n v="0"/>
    <n v="0"/>
    <n v="0"/>
    <n v="0"/>
    <n v="0"/>
    <n v="12"/>
    <n v="0"/>
    <n v="0"/>
    <n v="0"/>
    <n v="0"/>
    <n v="0"/>
    <n v="0"/>
    <n v="0"/>
    <n v="0"/>
    <n v="0"/>
    <n v="0"/>
    <n v="57"/>
    <n v="2"/>
    <n v="1.6888888888888889"/>
    <m/>
    <m/>
  </r>
  <r>
    <d v="2001-10-03T00:00:00"/>
    <x v="2"/>
    <n v="17.170000000000002"/>
    <x v="0"/>
    <x v="0"/>
    <x v="3"/>
    <x v="1"/>
    <n v="58"/>
    <n v="0"/>
    <n v="0"/>
    <n v="0"/>
    <n v="0"/>
    <n v="0"/>
    <n v="0"/>
    <n v="0"/>
    <n v="0"/>
    <n v="0"/>
    <n v="0"/>
    <n v="0"/>
    <n v="1"/>
    <n v="0"/>
    <n v="0"/>
    <n v="0"/>
    <n v="0"/>
    <n v="2"/>
    <n v="0"/>
    <n v="0"/>
    <n v="0"/>
    <n v="0"/>
    <n v="0"/>
    <n v="0"/>
    <n v="1"/>
    <n v="0"/>
    <n v="0"/>
    <n v="0"/>
    <n v="62"/>
    <n v="4"/>
    <n v="1.1206896551724137"/>
    <m/>
    <m/>
  </r>
  <r>
    <d v="2001-10-03T00:00:00"/>
    <x v="3"/>
    <n v="17.170000000000002"/>
    <x v="1"/>
    <x v="1"/>
    <x v="3"/>
    <x v="1"/>
    <n v="2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6"/>
    <n v="2"/>
    <n v="1"/>
    <m/>
    <n v="3.5"/>
  </r>
  <r>
    <d v="2001-10-03T00:00:00"/>
    <x v="5"/>
    <n v="17.5"/>
    <x v="2"/>
    <x v="2"/>
    <x v="3"/>
    <x v="1"/>
    <n v="61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618"/>
    <n v="2"/>
    <n v="2.0178282009724473"/>
    <m/>
    <m/>
  </r>
  <r>
    <d v="2001-10-03T00:00:00"/>
    <x v="4"/>
    <n v="17.5"/>
    <x v="2"/>
    <x v="2"/>
    <x v="3"/>
    <x v="1"/>
    <n v="30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310"/>
    <n v="2"/>
    <n v="1.5954692556634305"/>
    <m/>
    <n v="5"/>
  </r>
  <r>
    <d v="2001-10-02T00:00:00"/>
    <x v="0"/>
    <n v="17"/>
    <x v="0"/>
    <x v="0"/>
    <x v="3"/>
    <x v="1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1"/>
    <n v="1.75"/>
    <m/>
    <m/>
  </r>
  <r>
    <d v="2001-10-02T00:00:00"/>
    <x v="1"/>
    <n v="17"/>
    <x v="0"/>
    <x v="0"/>
    <x v="3"/>
    <x v="1"/>
    <n v="41"/>
    <n v="0"/>
    <n v="0"/>
    <n v="0"/>
    <n v="0"/>
    <n v="0"/>
    <n v="0"/>
    <n v="0"/>
    <n v="0"/>
    <n v="0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44"/>
    <n v="4"/>
    <n v="2.4634146341463414"/>
    <m/>
    <m/>
  </r>
  <r>
    <d v="2001-10-02T00:00:00"/>
    <x v="2"/>
    <n v="17"/>
    <x v="0"/>
    <x v="0"/>
    <x v="3"/>
    <x v="1"/>
    <n v="15"/>
    <n v="0"/>
    <n v="0"/>
    <n v="0"/>
    <n v="0"/>
    <n v="0"/>
    <n v="0"/>
    <n v="0"/>
    <n v="0"/>
    <n v="0"/>
    <n v="1"/>
    <n v="1"/>
    <n v="0"/>
    <n v="0"/>
    <n v="1"/>
    <n v="0"/>
    <n v="0"/>
    <n v="2"/>
    <n v="0"/>
    <n v="0"/>
    <n v="0"/>
    <n v="0"/>
    <n v="0"/>
    <n v="0"/>
    <n v="0"/>
    <n v="0"/>
    <n v="0"/>
    <n v="0"/>
    <n v="20"/>
    <n v="5"/>
    <n v="1.6666666666666667"/>
    <m/>
    <m/>
  </r>
  <r>
    <d v="2001-10-02T00:00:00"/>
    <x v="3"/>
    <n v="17"/>
    <x v="1"/>
    <x v="1"/>
    <x v="3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2"/>
    <n v="1"/>
    <m/>
    <m/>
    <n v="2"/>
  </r>
  <r>
    <d v="2001-10-02T00:00:00"/>
    <x v="5"/>
    <n v="17"/>
    <x v="2"/>
    <x v="2"/>
    <x v="3"/>
    <x v="1"/>
    <n v="906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907"/>
    <n v="2"/>
    <n v="7"/>
    <m/>
    <m/>
  </r>
  <r>
    <d v="2001-10-02T00:00:00"/>
    <x v="4"/>
    <n v="17"/>
    <x v="2"/>
    <x v="2"/>
    <x v="3"/>
    <x v="1"/>
    <n v="61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612"/>
    <n v="2"/>
    <n v="0.93289689034369883"/>
    <m/>
    <m/>
  </r>
  <r>
    <d v="2002-04-04T00:00:00"/>
    <x v="6"/>
    <n v="1.5"/>
    <x v="2"/>
    <x v="2"/>
    <x v="4"/>
    <x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"/>
    <n v="1.6666666666666667"/>
    <m/>
    <m/>
  </r>
  <r>
    <d v="2002-04-04T00:00:00"/>
    <x v="3"/>
    <n v="4"/>
    <x v="1"/>
    <x v="1"/>
    <x v="4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d v="2002-04-04T00:00:00"/>
    <x v="4"/>
    <n v="1.5"/>
    <x v="2"/>
    <x v="2"/>
    <x v="4"/>
    <x v="0"/>
    <n v="55"/>
    <n v="0"/>
    <n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"/>
    <n v="2"/>
    <n v="3.9090909090909092"/>
    <m/>
    <m/>
  </r>
  <r>
    <d v="2002-04-04T00:00:00"/>
    <x v="4"/>
    <n v="1.5"/>
    <x v="2"/>
    <x v="2"/>
    <x v="4"/>
    <x v="0"/>
    <n v="6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"/>
    <n v="2"/>
    <n v="2.890625"/>
    <m/>
    <m/>
  </r>
  <r>
    <d v="2002-04-04T00:00:00"/>
    <x v="5"/>
    <n v="1.5"/>
    <x v="2"/>
    <x v="2"/>
    <x v="4"/>
    <x v="0"/>
    <n v="122"/>
    <n v="0"/>
    <n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1"/>
    <n v="2"/>
    <n v="3.278688524590164"/>
    <m/>
    <m/>
  </r>
  <r>
    <d v="2002-09-09T00:00:00"/>
    <x v="2"/>
    <n v="15.5"/>
    <x v="0"/>
    <x v="0"/>
    <x v="4"/>
    <x v="1"/>
    <n v="1"/>
    <n v="0"/>
    <n v="0"/>
    <n v="0"/>
    <m/>
    <m/>
    <m/>
    <m/>
    <m/>
    <n v="0"/>
    <m/>
    <n v="0"/>
    <n v="0"/>
    <n v="0"/>
    <n v="0"/>
    <n v="0"/>
    <n v="0"/>
    <n v="1"/>
    <n v="0"/>
    <n v="0"/>
    <n v="0"/>
    <n v="0"/>
    <n v="0"/>
    <n v="0"/>
    <n v="0"/>
    <n v="0"/>
    <n v="0"/>
    <n v="0"/>
    <n v="2"/>
    <n v="2"/>
    <n v="1"/>
    <m/>
    <n v="1"/>
  </r>
  <r>
    <d v="2002-09-09T00:00:00"/>
    <x v="3"/>
    <n v="15.5"/>
    <x v="1"/>
    <x v="1"/>
    <x v="4"/>
    <x v="1"/>
    <n v="3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5"/>
    <n v="2"/>
    <n v="3.3"/>
    <m/>
    <n v="5"/>
  </r>
  <r>
    <d v="2002-09-09T00:00:00"/>
    <x v="5"/>
    <n v="15.5"/>
    <x v="2"/>
    <x v="2"/>
    <x v="4"/>
    <x v="1"/>
    <n v="324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326"/>
    <n v="2"/>
    <n v="3.04"/>
    <m/>
    <n v="2.5"/>
  </r>
  <r>
    <d v="2002-09-09T00:00:00"/>
    <x v="4"/>
    <n v="15.5"/>
    <x v="2"/>
    <x v="2"/>
    <x v="4"/>
    <x v="1"/>
    <n v="441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446"/>
    <n v="2"/>
    <n v="2.58"/>
    <m/>
    <n v="2.6"/>
  </r>
  <r>
    <d v="2002-09-10T00:00:00"/>
    <x v="3"/>
    <n v="23.75"/>
    <x v="1"/>
    <x v="1"/>
    <x v="4"/>
    <x v="1"/>
    <n v="3"/>
    <n v="0"/>
    <n v="0"/>
    <n v="0"/>
    <m/>
    <m/>
    <m/>
    <m/>
    <m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5"/>
    <n v="2"/>
    <n v="1.7"/>
    <m/>
    <n v="2"/>
  </r>
  <r>
    <d v="2002-09-10T00:00:00"/>
    <x v="2"/>
    <n v="23.75"/>
    <x v="0"/>
    <x v="0"/>
    <x v="4"/>
    <x v="1"/>
    <n v="97"/>
    <n v="0"/>
    <n v="0"/>
    <n v="0"/>
    <m/>
    <m/>
    <m/>
    <m/>
    <m/>
    <n v="0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103"/>
    <n v="2"/>
    <n v="1.9"/>
    <m/>
    <n v="2.5"/>
  </r>
  <r>
    <d v="2002-09-10T00:00:00"/>
    <x v="4"/>
    <n v="23.75"/>
    <x v="2"/>
    <x v="2"/>
    <x v="4"/>
    <x v="1"/>
    <n v="320"/>
    <n v="0"/>
    <n v="0"/>
    <n v="0"/>
    <m/>
    <m/>
    <m/>
    <m/>
    <m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323"/>
    <n v="2"/>
    <n v="2.4"/>
    <m/>
    <n v="13.3"/>
  </r>
  <r>
    <d v="2002-09-10T00:00:00"/>
    <x v="5"/>
    <n v="23.75"/>
    <x v="2"/>
    <x v="2"/>
    <x v="4"/>
    <x v="1"/>
    <n v="252"/>
    <n v="0"/>
    <n v="0"/>
    <n v="0"/>
    <m/>
    <m/>
    <m/>
    <m/>
    <m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255"/>
    <n v="2"/>
    <n v="3.65"/>
    <m/>
    <n v="2"/>
  </r>
  <r>
    <d v="2002-09-11T00:00:00"/>
    <x v="3"/>
    <n v="24"/>
    <x v="1"/>
    <x v="1"/>
    <x v="4"/>
    <x v="1"/>
    <n v="11"/>
    <n v="0"/>
    <n v="0"/>
    <n v="0"/>
    <m/>
    <m/>
    <m/>
    <m/>
    <m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1"/>
    <n v="14"/>
    <n v="3"/>
    <n v="0.9"/>
    <m/>
    <n v="1"/>
  </r>
  <r>
    <d v="2002-09-11T00:00:00"/>
    <x v="2"/>
    <n v="24"/>
    <x v="0"/>
    <x v="0"/>
    <x v="4"/>
    <x v="1"/>
    <n v="77"/>
    <n v="0"/>
    <n v="0"/>
    <n v="0"/>
    <m/>
    <m/>
    <m/>
    <m/>
    <m/>
    <n v="0"/>
    <n v="0"/>
    <n v="0"/>
    <n v="0"/>
    <n v="0"/>
    <n v="0"/>
    <n v="0"/>
    <n v="0"/>
    <n v="12"/>
    <n v="0"/>
    <n v="0"/>
    <n v="0"/>
    <n v="0"/>
    <n v="0"/>
    <n v="0"/>
    <n v="0"/>
    <n v="0"/>
    <n v="0"/>
    <n v="0"/>
    <n v="89"/>
    <n v="2"/>
    <n v="1.4"/>
    <m/>
    <n v="16.670000000000002"/>
  </r>
  <r>
    <d v="2002-09-11T00:00:00"/>
    <x v="4"/>
    <n v="24"/>
    <x v="2"/>
    <x v="2"/>
    <x v="4"/>
    <x v="1"/>
    <n v="260"/>
    <n v="0"/>
    <n v="0"/>
    <n v="0"/>
    <m/>
    <m/>
    <m/>
    <m/>
    <m/>
    <n v="0"/>
    <n v="0"/>
    <n v="0"/>
    <n v="0"/>
    <n v="0"/>
    <n v="0"/>
    <n v="0"/>
    <n v="0"/>
    <n v="9"/>
    <n v="0"/>
    <n v="0"/>
    <n v="0"/>
    <n v="0"/>
    <n v="0"/>
    <n v="0"/>
    <n v="0"/>
    <n v="0"/>
    <n v="0"/>
    <n v="0"/>
    <n v="269"/>
    <n v="2"/>
    <n v="2.4"/>
    <m/>
    <m/>
  </r>
  <r>
    <d v="2002-09-11T00:00:00"/>
    <x v="5"/>
    <n v="24"/>
    <x v="2"/>
    <x v="2"/>
    <x v="4"/>
    <x v="1"/>
    <n v="160"/>
    <n v="0"/>
    <n v="0"/>
    <n v="0"/>
    <m/>
    <m/>
    <m/>
    <m/>
    <m/>
    <n v="0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166"/>
    <n v="2"/>
    <n v="3.63"/>
    <m/>
    <n v="5"/>
  </r>
  <r>
    <d v="2002-09-12T00:00:00"/>
    <x v="5"/>
    <n v="23.75"/>
    <x v="2"/>
    <x v="2"/>
    <x v="4"/>
    <x v="1"/>
    <n v="205"/>
    <n v="0"/>
    <n v="0"/>
    <n v="0"/>
    <m/>
    <m/>
    <m/>
    <m/>
    <m/>
    <n v="0"/>
    <n v="0"/>
    <n v="0"/>
    <n v="0"/>
    <n v="0"/>
    <n v="0"/>
    <n v="0"/>
    <n v="0"/>
    <n v="15"/>
    <n v="0"/>
    <n v="0"/>
    <n v="0"/>
    <n v="0"/>
    <n v="0"/>
    <n v="0"/>
    <n v="0"/>
    <n v="0"/>
    <n v="0"/>
    <n v="0"/>
    <n v="220"/>
    <n v="2"/>
    <n v="3.94"/>
    <m/>
    <n v="4.3"/>
  </r>
  <r>
    <d v="2002-09-12T00:00:00"/>
    <x v="2"/>
    <n v="23.75"/>
    <x v="0"/>
    <x v="0"/>
    <x v="4"/>
    <x v="1"/>
    <n v="122"/>
    <n v="0"/>
    <n v="0"/>
    <n v="0"/>
    <m/>
    <m/>
    <m/>
    <m/>
    <m/>
    <n v="0"/>
    <n v="0"/>
    <n v="1"/>
    <n v="0"/>
    <n v="0"/>
    <n v="0"/>
    <n v="0"/>
    <n v="0"/>
    <n v="18"/>
    <n v="0"/>
    <n v="0"/>
    <n v="0"/>
    <n v="0"/>
    <n v="0"/>
    <n v="0"/>
    <n v="0"/>
    <n v="0"/>
    <n v="0"/>
    <n v="0"/>
    <n v="141"/>
    <n v="3"/>
    <n v="2.17"/>
    <n v="15"/>
    <n v="4.4000000000000004"/>
  </r>
  <r>
    <d v="2002-09-12T00:00:00"/>
    <x v="3"/>
    <n v="23.75"/>
    <x v="1"/>
    <x v="1"/>
    <x v="4"/>
    <x v="1"/>
    <n v="3"/>
    <n v="0"/>
    <n v="0"/>
    <n v="0"/>
    <m/>
    <m/>
    <m/>
    <m/>
    <m/>
    <n v="0"/>
    <n v="0"/>
    <n v="0"/>
    <n v="0"/>
    <n v="0"/>
    <n v="0"/>
    <n v="0"/>
    <n v="0"/>
    <n v="8"/>
    <n v="0"/>
    <n v="0"/>
    <n v="0"/>
    <n v="0"/>
    <n v="0"/>
    <n v="0"/>
    <n v="0"/>
    <n v="0"/>
    <n v="0"/>
    <n v="0"/>
    <n v="11"/>
    <n v="2"/>
    <n v="1.6"/>
    <m/>
    <n v="4.4000000000000004"/>
  </r>
  <r>
    <d v="2002-09-12T00:00:00"/>
    <x v="4"/>
    <n v="23.75"/>
    <x v="2"/>
    <x v="2"/>
    <x v="4"/>
    <x v="1"/>
    <n v="127"/>
    <n v="0"/>
    <n v="0"/>
    <n v="0"/>
    <m/>
    <m/>
    <m/>
    <m/>
    <m/>
    <n v="0"/>
    <n v="0"/>
    <n v="0"/>
    <n v="0"/>
    <n v="0"/>
    <n v="0"/>
    <n v="0"/>
    <n v="0"/>
    <n v="17"/>
    <n v="0"/>
    <n v="0"/>
    <n v="0"/>
    <n v="0"/>
    <n v="0"/>
    <n v="0"/>
    <n v="0"/>
    <n v="0"/>
    <n v="0"/>
    <n v="0"/>
    <n v="144"/>
    <n v="2"/>
    <n v="3.46"/>
    <m/>
    <n v="3.53"/>
  </r>
  <r>
    <d v="2002-09-24T00:00:00"/>
    <x v="2"/>
    <n v="15.5"/>
    <x v="0"/>
    <x v="0"/>
    <x v="4"/>
    <x v="1"/>
    <n v="17"/>
    <n v="0"/>
    <n v="0"/>
    <n v="0"/>
    <m/>
    <m/>
    <m/>
    <m/>
    <m/>
    <n v="0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22"/>
    <n v="2"/>
    <m/>
    <m/>
    <m/>
  </r>
  <r>
    <d v="2002-09-24T00:00:00"/>
    <x v="3"/>
    <n v="15.5"/>
    <x v="1"/>
    <x v="1"/>
    <x v="4"/>
    <x v="1"/>
    <n v="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d v="2002-09-26T00:00:00"/>
    <x v="2"/>
    <m/>
    <x v="0"/>
    <x v="0"/>
    <x v="4"/>
    <x v="1"/>
    <n v="17"/>
    <n v="0"/>
    <n v="0"/>
    <n v="0"/>
    <m/>
    <m/>
    <m/>
    <m/>
    <m/>
    <n v="0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22"/>
    <n v="2"/>
    <n v="3.8"/>
    <m/>
    <n v="4"/>
  </r>
  <r>
    <d v="2002-09-26T00:00:00"/>
    <x v="5"/>
    <m/>
    <x v="2"/>
    <x v="2"/>
    <x v="4"/>
    <x v="1"/>
    <n v="252"/>
    <n v="0"/>
    <n v="0"/>
    <n v="0"/>
    <m/>
    <m/>
    <m/>
    <m/>
    <m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253"/>
    <n v="2"/>
    <n v="1.8"/>
    <m/>
    <n v="7"/>
  </r>
  <r>
    <d v="2002-10-15T00:00:00"/>
    <x v="4"/>
    <n v="4.5"/>
    <x v="2"/>
    <x v="2"/>
    <x v="4"/>
    <x v="1"/>
    <n v="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d v="2002-10-15T00:00:00"/>
    <x v="5"/>
    <n v="4.5"/>
    <x v="2"/>
    <x v="2"/>
    <x v="4"/>
    <x v="1"/>
    <n v="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d v="2003-06-02T00:00:00"/>
    <x v="4"/>
    <n v="18.5"/>
    <x v="2"/>
    <x v="2"/>
    <x v="5"/>
    <x v="0"/>
    <n v="106"/>
    <n v="0"/>
    <n v="0"/>
    <n v="0"/>
    <m/>
    <m/>
    <m/>
    <m/>
    <m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106"/>
    <n v="0"/>
    <n v="4"/>
    <m/>
    <m/>
  </r>
  <r>
    <d v="2003-06-02T00:00:00"/>
    <x v="5"/>
    <n v="18.5"/>
    <x v="2"/>
    <x v="2"/>
    <x v="5"/>
    <x v="0"/>
    <n v="72"/>
    <n v="0"/>
    <n v="0"/>
    <n v="0"/>
    <m/>
    <m/>
    <m/>
    <m/>
    <m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73"/>
    <n v="2"/>
    <n v="4"/>
    <m/>
    <m/>
  </r>
  <r>
    <d v="2003-06-03T00:00:00"/>
    <x v="2"/>
    <n v="24"/>
    <x v="0"/>
    <x v="0"/>
    <x v="5"/>
    <x v="0"/>
    <n v="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m/>
    <m/>
    <m/>
  </r>
  <r>
    <d v="2003-06-03T00:00:00"/>
    <x v="3"/>
    <n v="24"/>
    <x v="1"/>
    <x v="1"/>
    <x v="5"/>
    <x v="0"/>
    <n v="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7"/>
    <n v="0"/>
    <n v="0"/>
    <n v="0"/>
    <n v="0"/>
    <n v="0"/>
    <n v="7"/>
    <n v="1"/>
    <m/>
    <m/>
    <m/>
  </r>
  <r>
    <d v="2003-06-03T00:00:00"/>
    <x v="4"/>
    <n v="24"/>
    <x v="2"/>
    <x v="2"/>
    <x v="5"/>
    <x v="0"/>
    <n v="111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"/>
    <n v="1"/>
    <n v="3.15"/>
    <m/>
    <m/>
  </r>
  <r>
    <d v="2003-06-03T00:00:00"/>
    <x v="5"/>
    <n v="24"/>
    <x v="2"/>
    <x v="2"/>
    <x v="5"/>
    <x v="0"/>
    <n v="92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"/>
    <n v="1"/>
    <n v="3.09"/>
    <m/>
    <m/>
  </r>
  <r>
    <d v="2010-06-05T00:00:00"/>
    <x v="2"/>
    <n v="16"/>
    <x v="0"/>
    <x v="0"/>
    <x v="5"/>
    <x v="0"/>
    <n v="0"/>
    <n v="0"/>
    <n v="0"/>
    <n v="0"/>
    <m/>
    <m/>
    <m/>
    <m/>
    <m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1"/>
    <m/>
    <m/>
    <m/>
  </r>
  <r>
    <d v="2010-06-05T00:00:00"/>
    <x v="3"/>
    <n v="16"/>
    <x v="1"/>
    <x v="1"/>
    <x v="5"/>
    <x v="0"/>
    <n v="0"/>
    <n v="0"/>
    <n v="0"/>
    <n v="0"/>
    <m/>
    <m/>
    <m/>
    <m/>
    <m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2"/>
    <n v="1"/>
    <m/>
    <m/>
    <m/>
  </r>
  <r>
    <d v="2010-06-05T00:00:00"/>
    <x v="4"/>
    <n v="16"/>
    <x v="2"/>
    <x v="2"/>
    <x v="5"/>
    <x v="0"/>
    <n v="90"/>
    <n v="0"/>
    <n v="1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"/>
    <n v="2"/>
    <n v="3"/>
    <m/>
    <m/>
  </r>
  <r>
    <d v="2010-06-05T00:00:00"/>
    <x v="5"/>
    <n v="16"/>
    <x v="2"/>
    <x v="2"/>
    <x v="5"/>
    <x v="0"/>
    <n v="43"/>
    <n v="0"/>
    <n v="0"/>
    <n v="0"/>
    <m/>
    <m/>
    <m/>
    <m/>
    <m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44"/>
    <n v="2"/>
    <n v="3"/>
    <m/>
    <m/>
  </r>
  <r>
    <d v="2003-06-06T00:00:00"/>
    <x v="2"/>
    <n v="24"/>
    <x v="0"/>
    <x v="0"/>
    <x v="5"/>
    <x v="0"/>
    <n v="0"/>
    <n v="0"/>
    <n v="0"/>
    <n v="0"/>
    <m/>
    <m/>
    <m/>
    <m/>
    <m/>
    <n v="0"/>
    <n v="0"/>
    <n v="0"/>
    <n v="0"/>
    <n v="0"/>
    <n v="0"/>
    <n v="0"/>
    <n v="2"/>
    <n v="0"/>
    <n v="0"/>
    <n v="0"/>
    <n v="0"/>
    <n v="0"/>
    <n v="14"/>
    <n v="0"/>
    <n v="0"/>
    <n v="0"/>
    <n v="0"/>
    <n v="0"/>
    <n v="16"/>
    <n v="2"/>
    <m/>
    <m/>
    <m/>
  </r>
  <r>
    <d v="2003-06-06T00:00:00"/>
    <x v="3"/>
    <n v="24"/>
    <x v="1"/>
    <x v="1"/>
    <x v="5"/>
    <x v="0"/>
    <n v="0"/>
    <n v="0"/>
    <n v="0"/>
    <n v="0"/>
    <m/>
    <m/>
    <m/>
    <m/>
    <m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2"/>
    <n v="1"/>
    <m/>
    <m/>
    <m/>
  </r>
  <r>
    <d v="2003-06-06T00:00:00"/>
    <x v="4"/>
    <n v="24"/>
    <x v="2"/>
    <x v="2"/>
    <x v="5"/>
    <x v="0"/>
    <n v="101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"/>
    <n v="1"/>
    <n v="2.7"/>
    <m/>
    <m/>
  </r>
  <r>
    <d v="2003-06-06T00:00:00"/>
    <x v="5"/>
    <n v="24"/>
    <x v="2"/>
    <x v="2"/>
    <x v="5"/>
    <x v="0"/>
    <n v="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"/>
    <n v="1"/>
    <n v="3.6"/>
    <m/>
    <m/>
  </r>
  <r>
    <d v="2003-09-29T00:00:00"/>
    <x v="2"/>
    <n v="14"/>
    <x v="0"/>
    <x v="0"/>
    <x v="5"/>
    <x v="1"/>
    <n v="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"/>
    <n v="2"/>
    <m/>
    <m/>
    <m/>
  </r>
  <r>
    <d v="2003-09-29T00:00:00"/>
    <x v="3"/>
    <n v="14"/>
    <x v="1"/>
    <x v="1"/>
    <x v="5"/>
    <x v="1"/>
    <n v="13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35"/>
    <n v="2"/>
    <m/>
    <m/>
    <m/>
  </r>
  <r>
    <d v="2003-09-29T00:00:00"/>
    <x v="4"/>
    <n v="14"/>
    <x v="2"/>
    <x v="2"/>
    <x v="5"/>
    <x v="1"/>
    <n v="2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9"/>
    <n v="1"/>
    <m/>
    <m/>
    <m/>
  </r>
  <r>
    <d v="2003-09-29T00:00:00"/>
    <x v="5"/>
    <n v="14"/>
    <x v="2"/>
    <x v="2"/>
    <x v="5"/>
    <x v="1"/>
    <n v="2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1"/>
    <n v="1"/>
    <m/>
    <m/>
    <m/>
  </r>
  <r>
    <d v="2003-09-30T00:00:00"/>
    <x v="2"/>
    <n v="23.5"/>
    <x v="0"/>
    <x v="0"/>
    <x v="5"/>
    <x v="1"/>
    <n v="86"/>
    <n v="0"/>
    <n v="0"/>
    <n v="0"/>
    <n v="0"/>
    <n v="0"/>
    <n v="0"/>
    <n v="0"/>
    <n v="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90"/>
    <n v="3"/>
    <n v="2.0299999999999998"/>
    <n v="16.600000000000001"/>
    <m/>
  </r>
  <r>
    <d v="2003-09-30T00:00:00"/>
    <x v="3"/>
    <n v="23.5"/>
    <x v="1"/>
    <x v="1"/>
    <x v="5"/>
    <x v="1"/>
    <n v="12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28"/>
    <n v="2"/>
    <n v="1.8"/>
    <m/>
    <m/>
  </r>
  <r>
    <d v="2003-09-30T00:00:00"/>
    <x v="4"/>
    <n v="23.5"/>
    <x v="2"/>
    <x v="2"/>
    <x v="5"/>
    <x v="1"/>
    <n v="2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4"/>
    <n v="1"/>
    <n v="3.2"/>
    <m/>
    <m/>
  </r>
  <r>
    <d v="2003-09-30T00:00:00"/>
    <x v="5"/>
    <n v="23.5"/>
    <x v="2"/>
    <x v="2"/>
    <x v="5"/>
    <x v="1"/>
    <n v="2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1"/>
    <n v="1"/>
    <n v="3.43"/>
    <m/>
    <m/>
  </r>
  <r>
    <d v="2003-10-01T00:00:00"/>
    <x v="2"/>
    <n v="24.5"/>
    <x v="0"/>
    <x v="0"/>
    <x v="5"/>
    <x v="1"/>
    <n v="9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91"/>
    <n v="2"/>
    <n v="2.1"/>
    <m/>
    <n v="5"/>
  </r>
  <r>
    <d v="2003-10-01T00:00:00"/>
    <x v="3"/>
    <n v="24.5"/>
    <x v="1"/>
    <x v="1"/>
    <x v="5"/>
    <x v="1"/>
    <n v="114"/>
    <n v="0"/>
    <n v="0"/>
    <n v="0"/>
    <n v="0"/>
    <n v="0"/>
    <n v="0"/>
    <n v="0"/>
    <n v="0"/>
    <n v="0"/>
    <n v="0"/>
    <n v="1"/>
    <n v="0"/>
    <n v="0"/>
    <n v="0"/>
    <n v="0"/>
    <n v="0"/>
    <m/>
    <n v="0"/>
    <n v="0"/>
    <n v="0"/>
    <n v="0"/>
    <n v="0"/>
    <n v="0"/>
    <n v="0"/>
    <n v="0"/>
    <n v="0"/>
    <n v="0"/>
    <n v="115"/>
    <n v="2"/>
    <n v="1.6"/>
    <n v="5"/>
    <m/>
  </r>
  <r>
    <d v="2003-10-01T00:00:00"/>
    <x v="4"/>
    <n v="24.5"/>
    <x v="2"/>
    <x v="2"/>
    <x v="5"/>
    <x v="1"/>
    <n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"/>
    <n v="1"/>
    <n v="1.9"/>
    <m/>
    <m/>
  </r>
  <r>
    <d v="2003-10-02T00:00:00"/>
    <x v="2"/>
    <n v="23"/>
    <x v="0"/>
    <x v="0"/>
    <x v="5"/>
    <x v="1"/>
    <n v="109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"/>
    <n v="1"/>
    <n v="1.6"/>
    <m/>
    <m/>
  </r>
  <r>
    <d v="2003-10-02T00:00:00"/>
    <x v="3"/>
    <n v="23"/>
    <x v="1"/>
    <x v="1"/>
    <x v="5"/>
    <x v="1"/>
    <n v="65"/>
    <n v="0"/>
    <n v="0"/>
    <n v="0"/>
    <n v="0"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"/>
    <n v="1"/>
    <n v="1.6"/>
    <m/>
    <m/>
  </r>
  <r>
    <d v="2003-10-02T00:00:00"/>
    <x v="4"/>
    <n v="23"/>
    <x v="2"/>
    <x v="2"/>
    <x v="5"/>
    <x v="1"/>
    <n v="266"/>
    <n v="0"/>
    <n v="0"/>
    <n v="0"/>
    <n v="0"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"/>
    <n v="1"/>
    <n v="1.9"/>
    <m/>
    <m/>
  </r>
  <r>
    <d v="2003-10-02T00:00:00"/>
    <x v="5"/>
    <n v="23"/>
    <x v="2"/>
    <x v="2"/>
    <x v="5"/>
    <x v="1"/>
    <n v="243"/>
    <n v="0"/>
    <n v="0"/>
    <n v="0"/>
    <n v="0"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3"/>
    <n v="1"/>
    <n v="2.2999999999999998"/>
    <m/>
    <m/>
  </r>
  <r>
    <d v="2003-10-16T00:00:00"/>
    <x v="2"/>
    <n v="20.5"/>
    <x v="0"/>
    <x v="0"/>
    <x v="5"/>
    <x v="1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"/>
    <n v="1"/>
    <n v="1.3"/>
    <m/>
    <m/>
  </r>
  <r>
    <d v="2003-10-16T00:00:00"/>
    <x v="3"/>
    <n v="20.5"/>
    <x v="1"/>
    <x v="1"/>
    <x v="5"/>
    <x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"/>
    <n v="1.3"/>
    <m/>
    <m/>
  </r>
  <r>
    <d v="2003-10-16T00:00:00"/>
    <x v="4"/>
    <n v="20.5"/>
    <x v="2"/>
    <x v="2"/>
    <x v="5"/>
    <x v="1"/>
    <n v="2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5"/>
    <n v="1"/>
    <n v="1.2"/>
    <m/>
    <m/>
  </r>
  <r>
    <d v="2003-10-16T00:00:00"/>
    <x v="5"/>
    <n v="20.5"/>
    <x v="2"/>
    <x v="2"/>
    <x v="5"/>
    <x v="1"/>
    <n v="1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"/>
    <n v="1"/>
    <n v="1.4"/>
    <m/>
    <m/>
  </r>
  <r>
    <d v="2003-10-17T00:00:00"/>
    <x v="2"/>
    <n v="24"/>
    <x v="0"/>
    <x v="0"/>
    <x v="5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m/>
    <m/>
    <m/>
  </r>
  <r>
    <d v="2003-10-17T00:00:00"/>
    <x v="3"/>
    <n v="24"/>
    <x v="1"/>
    <x v="1"/>
    <x v="5"/>
    <x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"/>
    <n v="3.1"/>
    <m/>
    <m/>
  </r>
  <r>
    <d v="2003-10-17T00:00:00"/>
    <x v="4"/>
    <n v="24"/>
    <x v="2"/>
    <x v="2"/>
    <x v="5"/>
    <x v="1"/>
    <n v="1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2"/>
    <n v="1"/>
    <n v="1.3"/>
    <m/>
    <m/>
  </r>
  <r>
    <d v="2003-10-17T00:00:00"/>
    <x v="5"/>
    <n v="24"/>
    <x v="2"/>
    <x v="2"/>
    <x v="5"/>
    <x v="1"/>
    <n v="1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4"/>
    <n v="1"/>
    <n v="1.5"/>
    <m/>
    <m/>
  </r>
  <r>
    <d v="2003-10-30T00:00:00"/>
    <x v="2"/>
    <n v="15"/>
    <x v="0"/>
    <x v="0"/>
    <x v="5"/>
    <x v="1"/>
    <n v="1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2"/>
    <n v="1"/>
    <n v="2.5"/>
    <m/>
    <m/>
  </r>
  <r>
    <d v="2003-10-30T00:00:00"/>
    <x v="3"/>
    <n v="15"/>
    <x v="1"/>
    <x v="1"/>
    <x v="5"/>
    <x v="1"/>
    <n v="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46"/>
    <n v="2"/>
    <n v="1.2"/>
    <m/>
    <m/>
  </r>
  <r>
    <d v="2003-10-30T00:00:00"/>
    <x v="4"/>
    <n v="15"/>
    <x v="2"/>
    <x v="2"/>
    <x v="5"/>
    <x v="1"/>
    <n v="1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1"/>
    <n v="1"/>
    <n v="1.3"/>
    <m/>
    <m/>
  </r>
  <r>
    <d v="2003-10-30T00:00:00"/>
    <x v="5"/>
    <n v="15"/>
    <x v="2"/>
    <x v="2"/>
    <x v="5"/>
    <x v="1"/>
    <n v="1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2"/>
    <n v="1"/>
    <n v="1.8"/>
    <m/>
    <m/>
  </r>
  <r>
    <d v="2004-06-02T00:00:00"/>
    <x v="1"/>
    <n v="14.5"/>
    <x v="0"/>
    <x v="0"/>
    <x v="6"/>
    <x v="0"/>
    <n v="76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77"/>
    <n v="2"/>
    <n v="2.3026315789473686"/>
    <m/>
    <m/>
  </r>
  <r>
    <d v="2004-06-02T00:00:00"/>
    <x v="3"/>
    <n v="14.5"/>
    <x v="1"/>
    <x v="1"/>
    <x v="6"/>
    <x v="0"/>
    <n v="44"/>
    <n v="0"/>
    <n v="2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48"/>
    <n v="3"/>
    <n v="2.2727272727272729"/>
    <m/>
    <m/>
  </r>
  <r>
    <d v="2004-06-02T00:00:00"/>
    <x v="4"/>
    <n v="14.5"/>
    <x v="2"/>
    <x v="2"/>
    <x v="6"/>
    <x v="0"/>
    <n v="4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467"/>
    <n v="3"/>
    <n v="2.2317596566523603"/>
    <m/>
    <m/>
  </r>
  <r>
    <d v="2004-06-02T00:00:00"/>
    <x v="5"/>
    <n v="14.5"/>
    <x v="2"/>
    <x v="2"/>
    <x v="6"/>
    <x v="0"/>
    <n v="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n v="1"/>
    <n v="2.2000000000000002"/>
    <m/>
    <m/>
  </r>
  <r>
    <d v="2004-06-03T00:00:00"/>
    <x v="1"/>
    <n v="24"/>
    <x v="0"/>
    <x v="0"/>
    <x v="6"/>
    <x v="0"/>
    <n v="11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16"/>
    <n v="2"/>
    <n v="2.7391304347826089"/>
    <n v="25"/>
    <m/>
  </r>
  <r>
    <d v="2004-06-03T00:00:00"/>
    <x v="3"/>
    <n v="24"/>
    <x v="1"/>
    <x v="1"/>
    <x v="6"/>
    <x v="0"/>
    <n v="206"/>
    <n v="0"/>
    <n v="0"/>
    <n v="0"/>
    <n v="0"/>
    <n v="0"/>
    <n v="0"/>
    <n v="0"/>
    <n v="0"/>
    <n v="0"/>
    <n v="0"/>
    <n v="1"/>
    <n v="0"/>
    <n v="3"/>
    <n v="0"/>
    <n v="0"/>
    <n v="0"/>
    <n v="0"/>
    <n v="0"/>
    <n v="1"/>
    <n v="2"/>
    <n v="0"/>
    <n v="0"/>
    <n v="0"/>
    <n v="0"/>
    <n v="0"/>
    <n v="0"/>
    <n v="0"/>
    <n v="213"/>
    <n v="5"/>
    <n v="1.7475728155339805"/>
    <n v="10"/>
    <m/>
  </r>
  <r>
    <d v="2004-06-03T00:00:00"/>
    <x v="4"/>
    <n v="24"/>
    <x v="2"/>
    <x v="2"/>
    <x v="6"/>
    <x v="0"/>
    <n v="3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6"/>
    <n v="1"/>
    <n v="2.3039215686274508"/>
    <m/>
    <m/>
  </r>
  <r>
    <d v="2004-06-03T00:00:00"/>
    <x v="5"/>
    <n v="24"/>
    <x v="2"/>
    <x v="2"/>
    <x v="6"/>
    <x v="0"/>
    <n v="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1"/>
    <n v="1.1000000000000001"/>
    <m/>
    <m/>
  </r>
  <r>
    <d v="2004-06-04T00:00:00"/>
    <x v="1"/>
    <n v="24"/>
    <x v="0"/>
    <x v="0"/>
    <x v="6"/>
    <x v="0"/>
    <n v="164"/>
    <n v="0"/>
    <n v="0"/>
    <n v="1"/>
    <n v="0"/>
    <n v="0"/>
    <n v="0"/>
    <n v="0"/>
    <n v="0"/>
    <n v="0"/>
    <n v="0"/>
    <n v="0"/>
    <n v="0"/>
    <n v="2"/>
    <n v="0"/>
    <n v="0"/>
    <n v="0"/>
    <n v="0"/>
    <n v="0"/>
    <n v="0"/>
    <n v="4"/>
    <n v="0"/>
    <n v="0"/>
    <n v="0"/>
    <n v="0"/>
    <n v="0"/>
    <n v="0"/>
    <n v="0"/>
    <n v="171"/>
    <n v="4"/>
    <n v="2.4695121951219514"/>
    <m/>
    <m/>
  </r>
  <r>
    <d v="2004-06-04T00:00:00"/>
    <x v="3"/>
    <n v="24"/>
    <x v="1"/>
    <x v="1"/>
    <x v="6"/>
    <x v="0"/>
    <n v="100"/>
    <n v="0"/>
    <n v="0"/>
    <n v="1"/>
    <n v="0"/>
    <n v="0"/>
    <n v="0"/>
    <n v="0"/>
    <n v="0"/>
    <n v="0"/>
    <n v="0"/>
    <n v="0"/>
    <n v="0"/>
    <n v="9"/>
    <n v="0"/>
    <n v="0"/>
    <n v="0"/>
    <n v="0"/>
    <n v="0"/>
    <n v="0"/>
    <n v="4"/>
    <n v="0"/>
    <n v="1"/>
    <n v="0"/>
    <n v="0"/>
    <n v="0"/>
    <n v="0"/>
    <n v="0"/>
    <n v="115"/>
    <n v="5"/>
    <n v="1.8"/>
    <m/>
    <m/>
  </r>
  <r>
    <d v="2004-06-04T00:00:00"/>
    <x v="5"/>
    <n v="24"/>
    <x v="2"/>
    <x v="2"/>
    <x v="6"/>
    <x v="0"/>
    <n v="25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254"/>
    <n v="2"/>
    <n v="1.6007905138339922"/>
    <m/>
    <m/>
  </r>
  <r>
    <d v="2004-06-10T00:00:00"/>
    <x v="1"/>
    <n v="16.5"/>
    <x v="0"/>
    <x v="0"/>
    <x v="6"/>
    <x v="0"/>
    <n v="1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"/>
    <n v="2"/>
    <n v="1.4935064935064934"/>
    <m/>
    <m/>
  </r>
  <r>
    <d v="2004-06-10T00:00:00"/>
    <x v="3"/>
    <n v="16.5"/>
    <x v="1"/>
    <x v="1"/>
    <x v="6"/>
    <x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m/>
    <m/>
    <m/>
  </r>
  <r>
    <d v="2004-06-10T00:00:00"/>
    <x v="4"/>
    <n v="3"/>
    <x v="2"/>
    <x v="2"/>
    <x v="6"/>
    <x v="0"/>
    <n v="284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286"/>
    <n v="2"/>
    <n v="1.7253521126760563"/>
    <m/>
    <m/>
  </r>
  <r>
    <d v="2004-06-10T00:00:00"/>
    <x v="5"/>
    <n v="3"/>
    <x v="2"/>
    <x v="2"/>
    <x v="6"/>
    <x v="0"/>
    <n v="2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3"/>
    <n v="1"/>
    <n v="1.6117216117216118"/>
    <m/>
    <m/>
  </r>
  <r>
    <d v="2004-09-15T00:00:00"/>
    <x v="1"/>
    <n v="14"/>
    <x v="0"/>
    <x v="0"/>
    <x v="6"/>
    <x v="1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"/>
    <n v="1"/>
    <n v="2"/>
    <m/>
    <m/>
  </r>
  <r>
    <d v="2004-09-15T00:00:00"/>
    <x v="2"/>
    <n v="14"/>
    <x v="0"/>
    <x v="0"/>
    <x v="6"/>
    <x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"/>
    <n v="0.33"/>
    <m/>
    <m/>
  </r>
  <r>
    <d v="2004-09-15T00:00:00"/>
    <x v="4"/>
    <n v="13.5"/>
    <x v="2"/>
    <x v="2"/>
    <x v="6"/>
    <x v="1"/>
    <n v="2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7"/>
    <n v="1"/>
    <n v="2"/>
    <m/>
    <m/>
  </r>
  <r>
    <d v="2004-09-15T00:00:00"/>
    <x v="5"/>
    <n v="13.5"/>
    <x v="2"/>
    <x v="2"/>
    <x v="6"/>
    <x v="1"/>
    <n v="5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5"/>
    <n v="1"/>
    <n v="3.5"/>
    <m/>
    <m/>
  </r>
  <r>
    <d v="2004-09-16T00:00:00"/>
    <x v="1"/>
    <n v="23.5"/>
    <x v="0"/>
    <x v="0"/>
    <x v="6"/>
    <x v="1"/>
    <n v="116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17"/>
    <n v="2"/>
    <n v="1.7"/>
    <m/>
    <n v="3"/>
  </r>
  <r>
    <d v="2004-09-16T00:00:00"/>
    <x v="2"/>
    <n v="23.5"/>
    <x v="0"/>
    <x v="0"/>
    <x v="6"/>
    <x v="1"/>
    <n v="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0"/>
    <n v="1"/>
    <n v="3"/>
    <m/>
    <m/>
  </r>
  <r>
    <d v="2004-09-16T00:00:00"/>
    <x v="4"/>
    <n v="19.5"/>
    <x v="2"/>
    <x v="2"/>
    <x v="6"/>
    <x v="1"/>
    <n v="1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1"/>
    <n v="1"/>
    <n v="2"/>
    <m/>
    <m/>
  </r>
  <r>
    <d v="2004-09-20T00:00:00"/>
    <x v="1"/>
    <n v="3"/>
    <x v="0"/>
    <x v="0"/>
    <x v="6"/>
    <x v="1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"/>
    <n v="2.5"/>
    <m/>
    <m/>
  </r>
  <r>
    <d v="2004-09-20T00:00:00"/>
    <x v="2"/>
    <n v="2.7"/>
    <x v="0"/>
    <x v="0"/>
    <x v="6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d v="2004-09-20T00:00:00"/>
    <x v="4"/>
    <n v="2"/>
    <x v="2"/>
    <x v="2"/>
    <x v="6"/>
    <x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2.6"/>
    <m/>
    <m/>
  </r>
  <r>
    <d v="2004-09-21T00:00:00"/>
    <x v="1"/>
    <n v="24.5"/>
    <x v="0"/>
    <x v="0"/>
    <x v="6"/>
    <x v="1"/>
    <n v="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"/>
    <n v="1"/>
    <n v="2.8"/>
    <m/>
    <m/>
  </r>
  <r>
    <d v="2004-09-21T00:00:00"/>
    <x v="2"/>
    <n v="24.5"/>
    <x v="0"/>
    <x v="0"/>
    <x v="6"/>
    <x v="1"/>
    <n v="1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7"/>
    <n v="1"/>
    <n v="1.7"/>
    <m/>
    <m/>
  </r>
  <r>
    <d v="2004-09-21T00:00:00"/>
    <x v="3"/>
    <n v="24.5"/>
    <x v="1"/>
    <x v="1"/>
    <x v="6"/>
    <x v="1"/>
    <n v="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"/>
    <n v="1"/>
    <n v="1.2"/>
    <m/>
    <m/>
  </r>
  <r>
    <d v="2004-09-21T00:00:00"/>
    <x v="4"/>
    <n v="18.5"/>
    <x v="2"/>
    <x v="2"/>
    <x v="6"/>
    <x v="1"/>
    <n v="1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"/>
    <n v="1"/>
    <n v="1.9"/>
    <m/>
    <m/>
  </r>
  <r>
    <d v="2004-09-23T00:00:00"/>
    <x v="1"/>
    <n v="16"/>
    <x v="0"/>
    <x v="0"/>
    <x v="6"/>
    <x v="1"/>
    <n v="1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6"/>
    <n v="1"/>
    <n v="2.8"/>
    <m/>
    <m/>
  </r>
  <r>
    <d v="2004-09-23T00:00:00"/>
    <x v="2"/>
    <n v="14"/>
    <x v="0"/>
    <x v="0"/>
    <x v="6"/>
    <x v="1"/>
    <n v="1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7"/>
    <n v="1"/>
    <n v="2.7"/>
    <m/>
    <m/>
  </r>
  <r>
    <d v="2004-09-23T00:00:00"/>
    <x v="3"/>
    <n v="14"/>
    <x v="1"/>
    <x v="1"/>
    <x v="6"/>
    <x v="1"/>
    <n v="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"/>
    <n v="1"/>
    <n v="1.1000000000000001"/>
    <m/>
    <m/>
  </r>
  <r>
    <d v="2004-09-23T00:00:00"/>
    <x v="4"/>
    <n v="14"/>
    <x v="2"/>
    <x v="2"/>
    <x v="6"/>
    <x v="1"/>
    <n v="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"/>
    <n v="1"/>
    <n v="1.7"/>
    <m/>
    <m/>
  </r>
  <r>
    <d v="2004-09-24T00:00:00"/>
    <x v="1"/>
    <n v="17.5"/>
    <x v="0"/>
    <x v="0"/>
    <x v="6"/>
    <x v="1"/>
    <n v="15"/>
    <n v="0"/>
    <n v="0"/>
    <n v="0"/>
    <n v="0"/>
    <n v="0"/>
    <n v="0"/>
    <n v="0"/>
    <n v="0"/>
    <n v="0"/>
    <n v="0"/>
    <n v="0"/>
    <n v="0"/>
    <n v="0"/>
    <n v="0"/>
    <n v="0"/>
    <n v="0"/>
    <n v="27"/>
    <n v="0"/>
    <n v="0"/>
    <n v="0"/>
    <n v="0"/>
    <n v="0"/>
    <n v="0"/>
    <n v="0"/>
    <n v="1"/>
    <n v="0"/>
    <n v="0"/>
    <n v="43"/>
    <n v="3"/>
    <n v="3"/>
    <m/>
    <n v="4.5999999999999996"/>
  </r>
  <r>
    <d v="2004-09-24T00:00:00"/>
    <x v="2"/>
    <n v="17.5"/>
    <x v="0"/>
    <x v="0"/>
    <x v="6"/>
    <x v="1"/>
    <n v="34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34"/>
    <n v="2"/>
    <n v="2.4"/>
    <m/>
    <m/>
  </r>
  <r>
    <d v="2004-09-24T00:00:00"/>
    <x v="3"/>
    <n v="17.5"/>
    <x v="1"/>
    <x v="1"/>
    <x v="6"/>
    <x v="1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"/>
    <n v="1"/>
    <n v="2"/>
    <m/>
    <m/>
  </r>
  <r>
    <d v="2004-09-24T00:00:00"/>
    <x v="4"/>
    <n v="17.5"/>
    <x v="2"/>
    <x v="2"/>
    <x v="6"/>
    <x v="1"/>
    <n v="2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9"/>
    <n v="1"/>
    <n v="2"/>
    <m/>
    <m/>
  </r>
  <r>
    <d v="2005-06-06T00:00:00"/>
    <x v="4"/>
    <n v="0.66"/>
    <x v="2"/>
    <x v="2"/>
    <x v="7"/>
    <x v="0"/>
    <n v="104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"/>
    <n v="1"/>
    <n v="3.75"/>
    <m/>
    <m/>
  </r>
  <r>
    <d v="2005-06-06T00:00:00"/>
    <x v="5"/>
    <n v="1.33"/>
    <x v="2"/>
    <x v="2"/>
    <x v="7"/>
    <x v="0"/>
    <n v="0"/>
    <n v="0"/>
    <n v="1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m/>
    <m/>
  </r>
  <r>
    <d v="2005-06-07T00:00:00"/>
    <x v="4"/>
    <n v="19.5"/>
    <x v="2"/>
    <x v="2"/>
    <x v="7"/>
    <x v="0"/>
    <n v="171"/>
    <n v="0"/>
    <n v="0"/>
    <n v="0"/>
    <m/>
    <m/>
    <m/>
    <m/>
    <m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173"/>
    <n v="3"/>
    <n v="3.0409356725146197"/>
    <n v="5"/>
    <m/>
  </r>
  <r>
    <d v="2005-06-07T00:00:00"/>
    <x v="5"/>
    <n v="19.5"/>
    <x v="2"/>
    <x v="2"/>
    <x v="7"/>
    <x v="0"/>
    <n v="18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0"/>
    <n v="1"/>
    <n v="3.8333333333333335"/>
    <m/>
    <m/>
  </r>
  <r>
    <d v="2008-06-08T00:00:00"/>
    <x v="4"/>
    <n v="2.16"/>
    <x v="2"/>
    <x v="2"/>
    <x v="7"/>
    <x v="0"/>
    <n v="23"/>
    <n v="0"/>
    <n v="1"/>
    <n v="3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"/>
    <n v="3"/>
    <n v="1.8695652173913044"/>
    <m/>
    <m/>
  </r>
  <r>
    <d v="2005-06-08T00:00:00"/>
    <x v="5"/>
    <n v="2.25"/>
    <x v="2"/>
    <x v="2"/>
    <x v="7"/>
    <x v="0"/>
    <n v="3"/>
    <n v="0"/>
    <n v="0"/>
    <n v="0"/>
    <m/>
    <m/>
    <m/>
    <m/>
    <m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4"/>
    <n v="2"/>
    <n v="1"/>
    <n v="0.5"/>
    <m/>
  </r>
  <r>
    <d v="2005-06-09T00:00:00"/>
    <x v="4"/>
    <n v="1.66"/>
    <x v="2"/>
    <x v="2"/>
    <x v="7"/>
    <x v="0"/>
    <n v="89"/>
    <n v="0"/>
    <n v="4"/>
    <n v="1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"/>
    <n v="3"/>
    <n v="3.1460674157303372"/>
    <m/>
    <m/>
  </r>
  <r>
    <d v="2005-06-09T00:00:00"/>
    <x v="4"/>
    <n v="2.25"/>
    <x v="2"/>
    <x v="2"/>
    <x v="7"/>
    <x v="0"/>
    <n v="73"/>
    <n v="0"/>
    <n v="0"/>
    <n v="0"/>
    <m/>
    <m/>
    <m/>
    <m/>
    <m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75"/>
    <n v="2"/>
    <n v="2.7397260273972601"/>
    <m/>
    <m/>
  </r>
  <r>
    <d v="2005-06-09T00:00:00"/>
    <x v="5"/>
    <n v="2.25"/>
    <x v="2"/>
    <x v="2"/>
    <x v="7"/>
    <x v="0"/>
    <n v="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d v="2005-06-09T00:00:00"/>
    <x v="4"/>
    <n v="1.5"/>
    <x v="2"/>
    <x v="2"/>
    <x v="7"/>
    <x v="0"/>
    <n v="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d v="2005-06-09T00:00:00"/>
    <x v="5"/>
    <n v="1.5"/>
    <x v="2"/>
    <x v="2"/>
    <x v="7"/>
    <x v="0"/>
    <n v="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d v="2005-10-11T00:00:00"/>
    <x v="2"/>
    <n v="20"/>
    <x v="0"/>
    <x v="0"/>
    <x v="7"/>
    <x v="1"/>
    <n v="2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230"/>
    <n v="2"/>
    <n v="1.6"/>
    <m/>
    <m/>
  </r>
  <r>
    <d v="2005-10-11T00:00:00"/>
    <x v="3"/>
    <n v="20"/>
    <x v="1"/>
    <x v="1"/>
    <x v="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d v="2005-10-11T00:00:00"/>
    <x v="4"/>
    <n v="20"/>
    <x v="2"/>
    <x v="2"/>
    <x v="7"/>
    <x v="1"/>
    <n v="3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"/>
    <n v="1"/>
    <n v="1.7"/>
    <m/>
    <m/>
  </r>
  <r>
    <d v="2005-10-11T00:00:00"/>
    <x v="5"/>
    <n v="20"/>
    <x v="2"/>
    <x v="2"/>
    <x v="7"/>
    <x v="1"/>
    <n v="4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8"/>
    <n v="1"/>
    <n v="1.5"/>
    <m/>
    <m/>
  </r>
  <r>
    <d v="2005-10-12T00:00:00"/>
    <x v="2"/>
    <n v="24"/>
    <x v="0"/>
    <x v="0"/>
    <x v="7"/>
    <x v="1"/>
    <n v="1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"/>
    <n v="1"/>
    <n v="1.6"/>
    <m/>
    <m/>
  </r>
  <r>
    <d v="2005-10-12T00:00:00"/>
    <x v="3"/>
    <n v="24"/>
    <x v="1"/>
    <x v="1"/>
    <x v="7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d v="2005-10-12T00:00:00"/>
    <x v="4"/>
    <n v="24"/>
    <x v="2"/>
    <x v="2"/>
    <x v="7"/>
    <x v="1"/>
    <n v="1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5"/>
    <n v="1"/>
    <n v="2.17"/>
    <m/>
    <m/>
  </r>
  <r>
    <d v="2005-10-12T00:00:00"/>
    <x v="5"/>
    <n v="24"/>
    <x v="2"/>
    <x v="2"/>
    <x v="7"/>
    <x v="1"/>
    <n v="4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8"/>
    <n v="1"/>
    <n v="0.9"/>
    <m/>
    <m/>
  </r>
  <r>
    <d v="2005-10-13T00:00:00"/>
    <x v="2"/>
    <n v="23.5"/>
    <x v="0"/>
    <x v="0"/>
    <x v="7"/>
    <x v="1"/>
    <n v="12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4"/>
    <n v="2"/>
    <n v="2.1"/>
    <m/>
    <m/>
  </r>
  <r>
    <d v="2005-10-13T00:00:00"/>
    <x v="3"/>
    <n v="23.5"/>
    <x v="1"/>
    <x v="1"/>
    <x v="7"/>
    <x v="1"/>
    <n v="8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83"/>
    <n v="2"/>
    <n v="1.5"/>
    <m/>
    <m/>
  </r>
  <r>
    <d v="2005-10-13T00:00:00"/>
    <x v="4"/>
    <n v="23.5"/>
    <x v="2"/>
    <x v="2"/>
    <x v="7"/>
    <x v="1"/>
    <n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"/>
    <n v="1"/>
    <n v="1.8"/>
    <m/>
    <m/>
  </r>
  <r>
    <d v="2005-10-13T00:00:00"/>
    <x v="5"/>
    <n v="23.5"/>
    <x v="2"/>
    <x v="2"/>
    <x v="7"/>
    <x v="1"/>
    <n v="2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0"/>
    <n v="1"/>
    <n v="1.7"/>
    <m/>
    <m/>
  </r>
  <r>
    <d v="2005-10-18T00:00:00"/>
    <x v="2"/>
    <n v="18"/>
    <x v="0"/>
    <x v="0"/>
    <x v="7"/>
    <x v="1"/>
    <n v="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"/>
    <n v="1"/>
    <n v="2"/>
    <m/>
    <m/>
  </r>
  <r>
    <d v="2005-10-18T00:00:00"/>
    <x v="3"/>
    <n v="18"/>
    <x v="1"/>
    <x v="1"/>
    <x v="7"/>
    <x v="1"/>
    <n v="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"/>
    <n v="1"/>
    <n v="2.2999999999999998"/>
    <m/>
    <m/>
  </r>
  <r>
    <d v="2005-10-18T00:00:00"/>
    <x v="4"/>
    <n v="18"/>
    <x v="2"/>
    <x v="2"/>
    <x v="7"/>
    <x v="1"/>
    <n v="1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6"/>
    <n v="1"/>
    <m/>
    <m/>
    <m/>
  </r>
  <r>
    <d v="2005-10-18T00:00:00"/>
    <x v="5"/>
    <n v="18"/>
    <x v="2"/>
    <x v="2"/>
    <x v="7"/>
    <x v="1"/>
    <n v="2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7"/>
    <n v="1"/>
    <n v="2.7"/>
    <m/>
    <m/>
  </r>
  <r>
    <d v="2005-10-19T00:00:00"/>
    <x v="2"/>
    <n v="24"/>
    <x v="0"/>
    <x v="0"/>
    <x v="7"/>
    <x v="1"/>
    <n v="1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"/>
    <n v="1"/>
    <n v="2.2000000000000002"/>
    <m/>
    <m/>
  </r>
  <r>
    <d v="2005-10-19T00:00:00"/>
    <x v="3"/>
    <n v="24"/>
    <x v="1"/>
    <x v="1"/>
    <x v="7"/>
    <x v="1"/>
    <n v="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"/>
    <n v="1"/>
    <n v="1.9"/>
    <m/>
    <m/>
  </r>
  <r>
    <d v="2005-10-19T00:00:00"/>
    <x v="4"/>
    <n v="24"/>
    <x v="2"/>
    <x v="2"/>
    <x v="7"/>
    <x v="1"/>
    <n v="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1"/>
    <n v="2.5"/>
    <m/>
    <m/>
  </r>
  <r>
    <d v="2005-10-19T00:00:00"/>
    <x v="5"/>
    <n v="24"/>
    <x v="2"/>
    <x v="2"/>
    <x v="7"/>
    <x v="1"/>
    <n v="2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1"/>
    <n v="1"/>
    <n v="2.4"/>
    <m/>
    <m/>
  </r>
  <r>
    <d v="2006-08-31T00:00:00"/>
    <x v="6"/>
    <n v="2.5"/>
    <x v="3"/>
    <x v="2"/>
    <x v="8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d v="2006-10-02T00:00:00"/>
    <x v="2"/>
    <n v="18"/>
    <x v="0"/>
    <x v="0"/>
    <x v="8"/>
    <x v="1"/>
    <n v="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"/>
    <n v="1"/>
    <n v="2.5694444444444446"/>
    <m/>
    <m/>
  </r>
  <r>
    <d v="2006-10-02T00:00:00"/>
    <x v="7"/>
    <n v="18"/>
    <x v="2"/>
    <x v="2"/>
    <x v="8"/>
    <x v="1"/>
    <n v="1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2"/>
    <n v="1"/>
    <n v="2.0639534883720931"/>
    <m/>
    <m/>
  </r>
  <r>
    <d v="2006-10-02T00:00:00"/>
    <x v="4"/>
    <n v="18"/>
    <x v="2"/>
    <x v="2"/>
    <x v="8"/>
    <x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m/>
    <m/>
  </r>
  <r>
    <d v="2006-10-02T00:00:00"/>
    <x v="6"/>
    <n v="18"/>
    <x v="3"/>
    <x v="2"/>
    <x v="8"/>
    <x v="1"/>
    <n v="3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7"/>
    <n v="1"/>
    <n v="2.44299674267101"/>
    <m/>
    <m/>
  </r>
  <r>
    <d v="2006-10-10T00:00:00"/>
    <x v="2"/>
    <n v="23"/>
    <x v="0"/>
    <x v="0"/>
    <x v="8"/>
    <x v="1"/>
    <n v="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40"/>
    <n v="2"/>
    <n v="2.9166666666666665"/>
    <m/>
    <m/>
  </r>
  <r>
    <d v="2006-10-10T00:00:00"/>
    <x v="7"/>
    <n v="23"/>
    <x v="2"/>
    <x v="2"/>
    <x v="8"/>
    <x v="1"/>
    <n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"/>
    <n v="1"/>
    <n v="3.2954545454545454"/>
    <m/>
    <m/>
  </r>
  <r>
    <d v="2006-10-10T00:00:00"/>
    <x v="4"/>
    <n v="2"/>
    <x v="2"/>
    <x v="2"/>
    <x v="8"/>
    <x v="1"/>
    <n v="3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6"/>
    <n v="1"/>
    <n v="1.9934640522875817"/>
    <m/>
    <m/>
  </r>
  <r>
    <d v="2006-10-10T00:00:00"/>
    <x v="6"/>
    <n v="23"/>
    <x v="3"/>
    <x v="2"/>
    <x v="8"/>
    <x v="1"/>
    <n v="2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8"/>
    <n v="1"/>
    <n v="2.8597122302158273"/>
    <m/>
    <m/>
  </r>
  <r>
    <d v="2006-10-11T00:00:00"/>
    <x v="2"/>
    <n v="24"/>
    <x v="0"/>
    <x v="0"/>
    <x v="8"/>
    <x v="1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74"/>
    <n v="2"/>
    <n v="1.9178082191780821"/>
    <m/>
    <m/>
  </r>
  <r>
    <d v="2006-10-11T00:00:00"/>
    <x v="7"/>
    <n v="24"/>
    <x v="2"/>
    <x v="2"/>
    <x v="8"/>
    <x v="1"/>
    <n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"/>
    <n v="1"/>
    <n v="3.8043478260869565"/>
    <m/>
    <m/>
  </r>
  <r>
    <d v="2006-10-11T00:00:00"/>
    <x v="4"/>
    <n v="22"/>
    <x v="2"/>
    <x v="2"/>
    <x v="8"/>
    <x v="1"/>
    <n v="3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8"/>
    <n v="1"/>
    <n v="2.0731707317073171"/>
    <m/>
    <m/>
  </r>
  <r>
    <d v="2006-10-11T00:00:00"/>
    <x v="6"/>
    <n v="24"/>
    <x v="3"/>
    <x v="2"/>
    <x v="8"/>
    <x v="1"/>
    <n v="3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9"/>
    <n v="1"/>
    <n v="2.5073746312684366"/>
    <m/>
    <m/>
  </r>
  <r>
    <d v="2006-10-13T00:00:00"/>
    <x v="1"/>
    <n v="22"/>
    <x v="0"/>
    <x v="0"/>
    <x v="8"/>
    <x v="1"/>
    <n v="404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406"/>
    <n v="2"/>
    <n v="2.9257425742574257"/>
    <m/>
    <m/>
  </r>
  <r>
    <d v="2006-10-13T00:00:00"/>
    <x v="7"/>
    <n v="22"/>
    <x v="2"/>
    <x v="2"/>
    <x v="8"/>
    <x v="1"/>
    <n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"/>
    <n v="1"/>
    <n v="2.9411764705882355"/>
    <m/>
    <m/>
  </r>
  <r>
    <d v="2006-10-13T00:00:00"/>
    <x v="4"/>
    <n v="22"/>
    <x v="2"/>
    <x v="2"/>
    <x v="8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m/>
    <m/>
    <m/>
  </r>
  <r>
    <d v="2006-10-13T00:00:00"/>
    <x v="6"/>
    <n v="22"/>
    <x v="3"/>
    <x v="2"/>
    <x v="8"/>
    <x v="1"/>
    <n v="2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9"/>
    <n v="1"/>
    <n v="2.8708133971291865"/>
    <m/>
    <m/>
  </r>
  <r>
    <d v="2007-10-02T00:00:00"/>
    <x v="0"/>
    <n v="24"/>
    <x v="0"/>
    <x v="0"/>
    <x v="9"/>
    <x v="1"/>
    <n v="97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98"/>
    <n v="2"/>
    <n v="2.5773195876288661"/>
    <m/>
    <m/>
  </r>
  <r>
    <d v="2007-10-02T00:00:00"/>
    <x v="3"/>
    <n v="24"/>
    <x v="1"/>
    <x v="1"/>
    <x v="9"/>
    <x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2.5"/>
    <m/>
    <m/>
  </r>
  <r>
    <d v="2007-10-02T00:00:00"/>
    <x v="4"/>
    <n v="24"/>
    <x v="2"/>
    <x v="3"/>
    <x v="9"/>
    <x v="1"/>
    <n v="1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2"/>
    <n v="1"/>
    <n v="2.4553571428571428"/>
    <m/>
    <m/>
  </r>
  <r>
    <d v="2007-10-02T00:00:00"/>
    <x v="5"/>
    <n v="24"/>
    <x v="2"/>
    <x v="3"/>
    <x v="9"/>
    <x v="1"/>
    <n v="13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34"/>
    <n v="2"/>
    <n v="3.1578947368421053"/>
    <m/>
    <m/>
  </r>
  <r>
    <d v="2007-10-03T00:00:00"/>
    <x v="0"/>
    <n v="24"/>
    <x v="0"/>
    <x v="0"/>
    <x v="9"/>
    <x v="1"/>
    <n v="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"/>
    <n v="1"/>
    <n v="2.1354166666666665"/>
    <m/>
    <m/>
  </r>
  <r>
    <d v="2007-10-03T00:00:00"/>
    <x v="3"/>
    <n v="24"/>
    <x v="1"/>
    <x v="1"/>
    <x v="9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d v="2007-10-03T00:00:00"/>
    <x v="4"/>
    <n v="24"/>
    <x v="2"/>
    <x v="3"/>
    <x v="9"/>
    <x v="1"/>
    <n v="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"/>
    <n v="1"/>
    <n v="1.6477272727272727"/>
    <m/>
    <m/>
  </r>
  <r>
    <d v="2007-10-03T00:00:00"/>
    <x v="5"/>
    <n v="24"/>
    <x v="2"/>
    <x v="3"/>
    <x v="9"/>
    <x v="1"/>
    <n v="1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2"/>
    <n v="1"/>
    <n v="1.7441860465116279"/>
    <m/>
    <m/>
  </r>
  <r>
    <d v="2007-10-05T00:00:00"/>
    <x v="1"/>
    <n v="24"/>
    <x v="0"/>
    <x v="0"/>
    <x v="9"/>
    <x v="1"/>
    <n v="70"/>
    <n v="0"/>
    <n v="0"/>
    <n v="0"/>
    <n v="0"/>
    <n v="0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73"/>
    <n v="3"/>
    <n v="2.7142857142857144"/>
    <m/>
    <m/>
  </r>
  <r>
    <d v="2007-10-05T00:00:00"/>
    <x v="3"/>
    <n v="24"/>
    <x v="1"/>
    <x v="1"/>
    <x v="9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d v="2007-10-05T00:00:00"/>
    <x v="4"/>
    <n v="24"/>
    <x v="2"/>
    <x v="3"/>
    <x v="9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d v="2007-10-05T00:00:00"/>
    <x v="5"/>
    <n v="24"/>
    <x v="2"/>
    <x v="3"/>
    <x v="9"/>
    <x v="1"/>
    <n v="8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9"/>
    <n v="2"/>
    <n v="1.875"/>
    <m/>
    <m/>
  </r>
  <r>
    <d v="2008-10-06T00:00:00"/>
    <x v="1"/>
    <n v="21"/>
    <x v="0"/>
    <x v="0"/>
    <x v="10"/>
    <x v="1"/>
    <n v="1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"/>
    <n v="1"/>
    <n v="1.5517241379310345"/>
    <m/>
    <m/>
  </r>
  <r>
    <d v="2008-10-06T00:00:00"/>
    <x v="3"/>
    <n v="21"/>
    <x v="1"/>
    <x v="1"/>
    <x v="10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d v="2008-10-06T00:00:00"/>
    <x v="4"/>
    <n v="21"/>
    <x v="2"/>
    <x v="3"/>
    <x v="10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d v="2008-10-06T00:00:00"/>
    <x v="7"/>
    <n v="21"/>
    <x v="2"/>
    <x v="3"/>
    <x v="10"/>
    <x v="1"/>
    <n v="1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"/>
    <n v="1"/>
    <n v="1.6504854368932038"/>
    <m/>
    <m/>
  </r>
  <r>
    <d v="2008-10-07T00:00:00"/>
    <x v="1"/>
    <n v="24.5"/>
    <x v="0"/>
    <x v="0"/>
    <x v="10"/>
    <x v="1"/>
    <n v="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"/>
    <n v="1"/>
    <n v="1.2903225806451613"/>
    <m/>
    <m/>
  </r>
  <r>
    <d v="2008-10-07T00:00:00"/>
    <x v="3"/>
    <n v="24.5"/>
    <x v="1"/>
    <x v="1"/>
    <x v="10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d v="2008-10-07T00:00:00"/>
    <x v="4"/>
    <n v="24.5"/>
    <x v="2"/>
    <x v="3"/>
    <x v="10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d v="2008-10-07T00:00:00"/>
    <x v="7"/>
    <n v="24.5"/>
    <x v="2"/>
    <x v="3"/>
    <x v="10"/>
    <x v="1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"/>
    <n v="1"/>
    <n v="1.4285714285714286"/>
    <m/>
    <m/>
  </r>
  <r>
    <d v="2008-10-08T00:00:00"/>
    <x v="1"/>
    <n v="24"/>
    <x v="0"/>
    <x v="0"/>
    <x v="10"/>
    <x v="1"/>
    <n v="5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54"/>
    <n v="2"/>
    <n v="1.4150943396226414"/>
    <m/>
    <m/>
  </r>
  <r>
    <d v="2008-10-08T00:00:00"/>
    <x v="3"/>
    <n v="24"/>
    <x v="1"/>
    <x v="1"/>
    <x v="1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m/>
    <m/>
    <m/>
  </r>
  <r>
    <d v="2008-10-08T00:00:00"/>
    <x v="4"/>
    <n v="24"/>
    <x v="2"/>
    <x v="3"/>
    <x v="10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d v="2008-10-08T00:00:00"/>
    <x v="7"/>
    <n v="24"/>
    <x v="2"/>
    <x v="3"/>
    <x v="10"/>
    <x v="1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"/>
    <n v="1"/>
    <n v="1.0714285714285714"/>
    <m/>
    <m/>
  </r>
  <r>
    <d v="2008-10-08T00:00:00"/>
    <x v="5"/>
    <n v="19.5"/>
    <x v="2"/>
    <x v="3"/>
    <x v="10"/>
    <x v="1"/>
    <n v="0"/>
    <n v="0"/>
    <n v="0"/>
    <n v="1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m/>
    <m/>
    <m/>
  </r>
  <r>
    <d v="2008-10-09T00:00:00"/>
    <x v="1"/>
    <n v="24"/>
    <x v="0"/>
    <x v="0"/>
    <x v="10"/>
    <x v="1"/>
    <n v="42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"/>
    <n v="1"/>
    <n v="1.7857142857142858"/>
    <m/>
    <m/>
  </r>
  <r>
    <d v="2008-10-09T00:00:00"/>
    <x v="4"/>
    <n v="24"/>
    <x v="2"/>
    <x v="3"/>
    <x v="10"/>
    <x v="1"/>
    <n v="0"/>
    <n v="0"/>
    <n v="0"/>
    <n v="2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"/>
    <m/>
    <m/>
    <m/>
  </r>
  <r>
    <d v="2008-10-09T00:00:00"/>
    <x v="7"/>
    <n v="24"/>
    <x v="2"/>
    <x v="3"/>
    <x v="10"/>
    <x v="1"/>
    <n v="15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"/>
    <n v="1"/>
    <n v="1.6666666666666667"/>
    <m/>
    <m/>
  </r>
  <r>
    <d v="2008-10-09T00:00:00"/>
    <x v="5"/>
    <n v="24"/>
    <x v="2"/>
    <x v="3"/>
    <x v="10"/>
    <x v="1"/>
    <n v="0"/>
    <n v="0"/>
    <n v="0"/>
    <n v="6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8"/>
    <n v="2"/>
    <m/>
    <m/>
    <m/>
  </r>
  <r>
    <d v="2008-11-13T00:00:00"/>
    <x v="1"/>
    <n v="22"/>
    <x v="0"/>
    <x v="0"/>
    <x v="10"/>
    <x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2.5"/>
    <m/>
    <m/>
  </r>
  <r>
    <d v="2008-11-13T00:00:00"/>
    <x v="4"/>
    <n v="20.5"/>
    <x v="2"/>
    <x v="3"/>
    <x v="10"/>
    <x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2"/>
    <m/>
    <m/>
  </r>
  <r>
    <d v="2008-11-13T00:00:00"/>
    <x v="5"/>
    <n v="1"/>
    <x v="2"/>
    <x v="3"/>
    <x v="10"/>
    <x v="1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1"/>
    <n v="1.3333333333333333"/>
    <m/>
    <m/>
  </r>
  <r>
    <d v="2009-10-05T00:00:00"/>
    <x v="1"/>
    <n v="14.5"/>
    <x v="0"/>
    <x v="0"/>
    <x v="11"/>
    <x v="1"/>
    <n v="56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57"/>
    <n v="2"/>
    <n v="4.375"/>
    <m/>
    <n v="10"/>
  </r>
  <r>
    <d v="2009-10-05T00:00:00"/>
    <x v="3"/>
    <n v="14.5"/>
    <x v="1"/>
    <x v="1"/>
    <x v="1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d v="2009-10-05T00:00:00"/>
    <x v="4"/>
    <n v="14.5"/>
    <x v="2"/>
    <x v="3"/>
    <x v="11"/>
    <x v="1"/>
    <n v="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48"/>
    <n v="2"/>
    <n v="2.8085106382978724"/>
    <m/>
    <m/>
  </r>
  <r>
    <d v="2009-10-05T00:00:00"/>
    <x v="5"/>
    <n v="14.5"/>
    <x v="2"/>
    <x v="3"/>
    <x v="11"/>
    <x v="1"/>
    <n v="1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6"/>
    <n v="1"/>
    <n v="2.0306122448979593"/>
    <m/>
    <m/>
  </r>
  <r>
    <d v="2009-10-06T00:00:00"/>
    <x v="1"/>
    <n v="24"/>
    <x v="0"/>
    <x v="0"/>
    <x v="11"/>
    <x v="1"/>
    <n v="78"/>
    <n v="0"/>
    <n v="0"/>
    <n v="0"/>
    <m/>
    <m/>
    <m/>
    <m/>
    <m/>
    <n v="0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82"/>
    <n v="3"/>
    <n v="2.6282051282051282"/>
    <m/>
    <n v="11.666666666666666"/>
  </r>
  <r>
    <d v="2009-10-06T00:00:00"/>
    <x v="3"/>
    <n v="24"/>
    <x v="1"/>
    <x v="1"/>
    <x v="11"/>
    <x v="1"/>
    <n v="6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"/>
    <n v="1"/>
    <n v="1.9166666666666667"/>
    <m/>
    <m/>
  </r>
  <r>
    <d v="2009-10-06T00:00:00"/>
    <x v="4"/>
    <n v="24"/>
    <x v="2"/>
    <x v="3"/>
    <x v="11"/>
    <x v="1"/>
    <n v="68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"/>
    <n v="1"/>
    <n v="2.1323529411764706"/>
    <m/>
    <m/>
  </r>
  <r>
    <d v="2009-10-06T00:00:00"/>
    <x v="5"/>
    <n v="24"/>
    <x v="2"/>
    <x v="3"/>
    <x v="11"/>
    <x v="1"/>
    <n v="203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3"/>
    <n v="1"/>
    <n v="1.7241379310344827"/>
    <m/>
    <m/>
  </r>
  <r>
    <d v="2009-10-14T00:00:00"/>
    <x v="1"/>
    <n v="16"/>
    <x v="0"/>
    <x v="0"/>
    <x v="11"/>
    <x v="1"/>
    <n v="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"/>
    <n v="1"/>
    <n v="1.8656716417910448"/>
    <m/>
    <m/>
  </r>
  <r>
    <d v="2009-10-14T00:00:00"/>
    <x v="3"/>
    <n v="16"/>
    <x v="1"/>
    <x v="1"/>
    <x v="1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d v="2009-10-14T00:00:00"/>
    <x v="4"/>
    <n v="16"/>
    <x v="2"/>
    <x v="3"/>
    <x v="11"/>
    <x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4"/>
    <n v="2"/>
    <n v="1.1666666666666667"/>
    <m/>
    <m/>
  </r>
  <r>
    <d v="2009-10-14T00:00:00"/>
    <x v="5"/>
    <n v="16"/>
    <x v="2"/>
    <x v="3"/>
    <x v="11"/>
    <x v="1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"/>
    <n v="1"/>
    <n v="2.1739130434782608"/>
    <m/>
    <m/>
  </r>
  <r>
    <d v="2009-10-15T00:00:00"/>
    <x v="1"/>
    <n v="24"/>
    <x v="0"/>
    <x v="0"/>
    <x v="11"/>
    <x v="1"/>
    <n v="24"/>
    <n v="0"/>
    <n v="0"/>
    <n v="0"/>
    <m/>
    <m/>
    <m/>
    <m/>
    <m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26"/>
    <n v="2"/>
    <n v="3.5416666666666665"/>
    <m/>
    <m/>
  </r>
  <r>
    <d v="2009-10-15T00:00:00"/>
    <x v="3"/>
    <n v="24"/>
    <x v="1"/>
    <x v="1"/>
    <x v="11"/>
    <x v="1"/>
    <n v="2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"/>
    <n v="3"/>
    <m/>
    <m/>
  </r>
  <r>
    <d v="2009-10-15T00:00:00"/>
    <x v="4"/>
    <n v="24"/>
    <x v="2"/>
    <x v="3"/>
    <x v="11"/>
    <x v="1"/>
    <n v="47"/>
    <n v="0"/>
    <n v="0"/>
    <n v="0"/>
    <m/>
    <m/>
    <m/>
    <m/>
    <m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48"/>
    <n v="2"/>
    <n v="1.7021276595744681"/>
    <n v="10"/>
    <m/>
  </r>
  <r>
    <d v="2009-10-15T00:00:00"/>
    <x v="5"/>
    <n v="24"/>
    <x v="2"/>
    <x v="3"/>
    <x v="11"/>
    <x v="1"/>
    <n v="121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"/>
    <n v="1"/>
    <n v="2.2727272727272729"/>
    <m/>
    <m/>
  </r>
  <r>
    <d v="2010-10-12T00:00:00"/>
    <x v="1"/>
    <n v="19.5"/>
    <x v="0"/>
    <x v="4"/>
    <x v="12"/>
    <x v="1"/>
    <n v="81"/>
    <n v="0"/>
    <n v="0"/>
    <n v="0"/>
    <n v="0"/>
    <n v="0"/>
    <n v="0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1"/>
    <n v="0"/>
    <n v="0"/>
    <n v="85"/>
    <n v="4"/>
    <n v="2.16"/>
    <m/>
    <n v="5"/>
  </r>
  <r>
    <d v="2010-10-12T00:00:00"/>
    <x v="3"/>
    <n v="19.5"/>
    <x v="1"/>
    <x v="4"/>
    <x v="12"/>
    <x v="1"/>
    <n v="2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6"/>
    <n v="1"/>
    <n v="1.8"/>
    <m/>
    <m/>
  </r>
  <r>
    <d v="2010-10-12T00:00:00"/>
    <x v="4"/>
    <n v="19.5"/>
    <x v="2"/>
    <x v="3"/>
    <x v="12"/>
    <x v="1"/>
    <n v="89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91"/>
    <n v="2"/>
    <n v="1.8"/>
    <m/>
    <n v="2.5"/>
  </r>
  <r>
    <d v="2010-10-12T00:00:00"/>
    <x v="7"/>
    <n v="19.5"/>
    <x v="2"/>
    <x v="3"/>
    <x v="12"/>
    <x v="1"/>
    <n v="1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3"/>
    <n v="1"/>
    <n v="2"/>
    <m/>
    <m/>
  </r>
  <r>
    <d v="2010-10-13T00:00:00"/>
    <x v="1"/>
    <n v="24"/>
    <x v="0"/>
    <x v="4"/>
    <x v="12"/>
    <x v="1"/>
    <n v="106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108"/>
    <n v="3"/>
    <n v="2"/>
    <m/>
    <n v="1"/>
  </r>
  <r>
    <d v="2010-10-13T00:00:00"/>
    <x v="3"/>
    <n v="24"/>
    <x v="1"/>
    <x v="4"/>
    <x v="12"/>
    <x v="1"/>
    <n v="1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"/>
    <n v="1"/>
    <n v="2"/>
    <m/>
    <m/>
  </r>
  <r>
    <d v="2010-10-13T00:00:00"/>
    <x v="4"/>
    <n v="24"/>
    <x v="2"/>
    <x v="3"/>
    <x v="12"/>
    <x v="1"/>
    <n v="1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7"/>
    <n v="1"/>
    <n v="1.8"/>
    <m/>
    <m/>
  </r>
  <r>
    <d v="2010-10-13T00:00:00"/>
    <x v="5"/>
    <n v="24"/>
    <x v="2"/>
    <x v="3"/>
    <x v="12"/>
    <x v="1"/>
    <n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"/>
    <n v="1"/>
    <n v="2.4"/>
    <m/>
    <m/>
  </r>
  <r>
    <d v="2010-10-14T00:00:00"/>
    <x v="1"/>
    <n v="24"/>
    <x v="0"/>
    <x v="4"/>
    <x v="12"/>
    <x v="1"/>
    <n v="87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89"/>
    <n v="2"/>
    <n v="1.72"/>
    <m/>
    <m/>
  </r>
  <r>
    <d v="2010-10-14T00:00:00"/>
    <x v="4"/>
    <n v="24"/>
    <x v="1"/>
    <x v="4"/>
    <x v="12"/>
    <x v="1"/>
    <n v="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"/>
    <n v="1"/>
    <n v="1.54"/>
    <m/>
    <m/>
  </r>
  <r>
    <d v="2010-10-14T00:00:00"/>
    <x v="5"/>
    <n v="24"/>
    <x v="2"/>
    <x v="3"/>
    <x v="12"/>
    <x v="1"/>
    <n v="87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89"/>
    <n v="2"/>
    <n v="1.7"/>
    <m/>
    <m/>
  </r>
  <r>
    <d v="2010-10-14T00:00:00"/>
    <x v="3"/>
    <n v="24"/>
    <x v="2"/>
    <x v="3"/>
    <x v="12"/>
    <x v="1"/>
    <n v="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"/>
    <n v="1"/>
    <n v="2.14"/>
    <m/>
    <m/>
  </r>
  <r>
    <d v="2010-10-28T00:00:00"/>
    <x v="1"/>
    <n v="25"/>
    <x v="0"/>
    <x v="4"/>
    <x v="12"/>
    <x v="1"/>
    <n v="67"/>
    <n v="0"/>
    <n v="0"/>
    <m/>
    <m/>
    <m/>
    <m/>
    <m/>
    <m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68"/>
    <n v="2"/>
    <n v="1.79"/>
    <m/>
    <m/>
  </r>
  <r>
    <d v="2010-10-28T00:00:00"/>
    <x v="3"/>
    <n v="25"/>
    <x v="1"/>
    <x v="4"/>
    <x v="12"/>
    <x v="1"/>
    <n v="192"/>
    <n v="0"/>
    <n v="0"/>
    <n v="1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3"/>
    <n v="2"/>
    <m/>
    <m/>
    <m/>
  </r>
  <r>
    <d v="2010-10-28T00:00:00"/>
    <x v="4"/>
    <n v="25"/>
    <x v="2"/>
    <x v="3"/>
    <x v="12"/>
    <x v="1"/>
    <n v="1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8"/>
    <n v="2"/>
    <n v="1.76"/>
    <m/>
    <m/>
  </r>
  <r>
    <d v="2010-10-28T00:00:00"/>
    <x v="5"/>
    <n v="25"/>
    <x v="2"/>
    <x v="3"/>
    <x v="12"/>
    <x v="1"/>
    <n v="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"/>
    <n v="1"/>
    <n v="2.0299999999999998"/>
    <m/>
    <m/>
  </r>
  <r>
    <d v="2011-09-19T00:00:00"/>
    <x v="1"/>
    <n v="22"/>
    <x v="0"/>
    <x v="4"/>
    <x v="13"/>
    <x v="1"/>
    <n v="96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"/>
    <n v="1"/>
    <n v="2.3229166666666665"/>
    <m/>
    <m/>
  </r>
  <r>
    <d v="2011-09-19T00:00:00"/>
    <x v="3"/>
    <n v="22"/>
    <x v="1"/>
    <x v="4"/>
    <x v="13"/>
    <x v="1"/>
    <n v="21"/>
    <n v="0"/>
    <n v="0"/>
    <n v="1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23"/>
    <n v="3"/>
    <n v="1.1904761904761905"/>
    <m/>
    <m/>
  </r>
  <r>
    <d v="2011-09-19T00:00:00"/>
    <x v="4"/>
    <n v="22"/>
    <x v="2"/>
    <x v="3"/>
    <x v="13"/>
    <x v="1"/>
    <n v="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d v="2011-09-19T00:00:00"/>
    <x v="6"/>
    <n v="22"/>
    <x v="3"/>
    <x v="3"/>
    <x v="13"/>
    <x v="1"/>
    <n v="127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7"/>
    <n v="1"/>
    <n v="1.7322834645669292"/>
    <m/>
    <m/>
  </r>
  <r>
    <d v="2011-09-23T00:00:00"/>
    <x v="5"/>
    <n v="16"/>
    <x v="2"/>
    <x v="3"/>
    <x v="13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d v="2011-09-23T00:00:00"/>
    <x v="1"/>
    <n v="16"/>
    <x v="0"/>
    <x v="3"/>
    <x v="13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d v="2011-09-23T00:00:00"/>
    <x v="3"/>
    <n v="16"/>
    <x v="1"/>
    <x v="4"/>
    <x v="13"/>
    <x v="1"/>
    <n v="18"/>
    <n v="0"/>
    <n v="0"/>
    <n v="0"/>
    <m/>
    <m/>
    <m/>
    <m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"/>
    <n v="2"/>
    <n v="1.9444444444444444"/>
    <m/>
    <m/>
  </r>
  <r>
    <d v="2011-09-23T00:00:00"/>
    <x v="4"/>
    <n v="16"/>
    <x v="2"/>
    <x v="3"/>
    <x v="13"/>
    <x v="1"/>
    <n v="94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"/>
    <n v="1"/>
    <n v="3.0319148936170213"/>
    <m/>
    <m/>
  </r>
  <r>
    <d v="2011-10-03T00:00:00"/>
    <x v="1"/>
    <n v="22.5"/>
    <x v="0"/>
    <x v="4"/>
    <x v="13"/>
    <x v="1"/>
    <n v="68"/>
    <n v="0"/>
    <n v="0"/>
    <n v="1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"/>
    <n v="2"/>
    <n v="4.5588235294117645"/>
    <m/>
    <m/>
  </r>
  <r>
    <d v="2011-10-03T00:00:00"/>
    <x v="3"/>
    <n v="22.5"/>
    <x v="1"/>
    <x v="4"/>
    <x v="13"/>
    <x v="1"/>
    <n v="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d v="2011-10-03T00:00:00"/>
    <x v="4"/>
    <n v="22.5"/>
    <x v="2"/>
    <x v="3"/>
    <x v="13"/>
    <x v="1"/>
    <n v="182"/>
    <n v="0"/>
    <n v="0"/>
    <n v="1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3"/>
    <n v="2"/>
    <n v="2.1428571428571428"/>
    <m/>
    <m/>
  </r>
  <r>
    <d v="2011-10-03T00:00:00"/>
    <x v="5"/>
    <n v="22.5"/>
    <x v="2"/>
    <x v="3"/>
    <x v="13"/>
    <x v="1"/>
    <n v="62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"/>
    <n v="1"/>
    <n v="2.338709677419355"/>
    <m/>
    <m/>
  </r>
  <r>
    <d v="2011-10-07T00:00:00"/>
    <x v="0"/>
    <n v="16"/>
    <x v="0"/>
    <x v="4"/>
    <x v="13"/>
    <x v="1"/>
    <n v="97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"/>
    <n v="1"/>
    <n v="1.7525773195876289"/>
    <m/>
    <m/>
  </r>
  <r>
    <d v="2011-10-07T00:00:00"/>
    <x v="3"/>
    <n v="16"/>
    <x v="1"/>
    <x v="4"/>
    <x v="13"/>
    <x v="1"/>
    <n v="24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"/>
    <n v="1"/>
    <n v="2.2916666666666665"/>
    <m/>
    <m/>
  </r>
  <r>
    <d v="2011-10-07T00:00:00"/>
    <x v="4"/>
    <n v="16"/>
    <x v="2"/>
    <x v="3"/>
    <x v="13"/>
    <x v="1"/>
    <n v="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d v="2011-10-07T00:00:00"/>
    <x v="6"/>
    <n v="16"/>
    <x v="3"/>
    <x v="3"/>
    <x v="13"/>
    <x v="1"/>
    <n v="121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"/>
    <n v="1"/>
    <n v="1.7768595041322315"/>
    <m/>
    <m/>
  </r>
  <r>
    <d v="2012-10-11T00:00:00"/>
    <x v="0"/>
    <n v="19"/>
    <x v="0"/>
    <x v="4"/>
    <x v="14"/>
    <x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"/>
    <n v="4.5"/>
    <m/>
    <m/>
  </r>
  <r>
    <d v="2012-10-11T00:00:00"/>
    <x v="5"/>
    <n v="19"/>
    <x v="2"/>
    <x v="3"/>
    <x v="14"/>
    <x v="1"/>
    <n v="31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311"/>
    <n v="2"/>
    <n v="2.2580645161290325"/>
    <m/>
    <m/>
  </r>
  <r>
    <d v="2012-10-12T00:00:00"/>
    <x v="0"/>
    <n v="19"/>
    <x v="0"/>
    <x v="4"/>
    <x v="14"/>
    <x v="1"/>
    <n v="148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49"/>
    <n v="2"/>
    <n v="2.2297297297297298"/>
    <m/>
    <n v="2"/>
  </r>
  <r>
    <d v="2012-10-12T00:00:00"/>
    <x v="8"/>
    <n v="19"/>
    <x v="1"/>
    <x v="4"/>
    <x v="14"/>
    <x v="1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"/>
    <n v="1"/>
    <n v="1.6666666666666667"/>
    <m/>
    <m/>
  </r>
  <r>
    <d v="2012-10-12T00:00:00"/>
    <x v="5"/>
    <n v="19"/>
    <x v="2"/>
    <x v="3"/>
    <x v="14"/>
    <x v="1"/>
    <n v="3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6"/>
    <n v="1"/>
    <n v="1.8617021276595744"/>
    <m/>
    <m/>
  </r>
  <r>
    <d v="2013-10-09T00:00:00"/>
    <x v="1"/>
    <n v="24"/>
    <x v="0"/>
    <x v="4"/>
    <x v="15"/>
    <x v="1"/>
    <n v="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"/>
    <n v="1"/>
    <n v="1.5"/>
    <m/>
    <m/>
  </r>
  <r>
    <d v="2013-10-09T00:00:00"/>
    <x v="3"/>
    <n v="24"/>
    <x v="1"/>
    <x v="4"/>
    <x v="15"/>
    <x v="1"/>
    <n v="1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134"/>
    <n v="3"/>
    <n v="2.2000000000000002"/>
    <m/>
    <m/>
  </r>
  <r>
    <d v="2013-10-09T00:00:00"/>
    <x v="4"/>
    <n v="24"/>
    <x v="2"/>
    <x v="3"/>
    <x v="15"/>
    <x v="1"/>
    <n v="2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7"/>
    <n v="1"/>
    <n v="1.3"/>
    <m/>
    <m/>
  </r>
  <r>
    <d v="2013-10-09T00:00:00"/>
    <x v="7"/>
    <n v="25.1"/>
    <x v="2"/>
    <x v="3"/>
    <x v="15"/>
    <x v="1"/>
    <n v="12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28"/>
    <n v="2"/>
    <n v="2"/>
    <m/>
    <m/>
  </r>
  <r>
    <d v="2013-10-10T00:00:00"/>
    <x v="1"/>
    <n v="24"/>
    <x v="0"/>
    <x v="4"/>
    <x v="15"/>
    <x v="1"/>
    <n v="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"/>
    <n v="1"/>
    <n v="1.7"/>
    <m/>
    <m/>
  </r>
  <r>
    <d v="2013-10-10T00:00:00"/>
    <x v="3"/>
    <n v="24"/>
    <x v="1"/>
    <x v="4"/>
    <x v="15"/>
    <x v="1"/>
    <n v="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"/>
    <n v="1"/>
    <n v="2.1"/>
    <m/>
    <m/>
  </r>
  <r>
    <d v="2013-10-10T00:00:00"/>
    <x v="4"/>
    <n v="24"/>
    <x v="2"/>
    <x v="3"/>
    <x v="15"/>
    <x v="1"/>
    <n v="2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9"/>
    <n v="1"/>
    <n v="1.9"/>
    <m/>
    <m/>
  </r>
  <r>
    <d v="2013-10-10T00:00:00"/>
    <x v="5"/>
    <n v="25.25"/>
    <x v="2"/>
    <x v="3"/>
    <x v="15"/>
    <x v="1"/>
    <n v="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"/>
    <n v="1"/>
    <n v="1.7"/>
    <m/>
    <m/>
  </r>
  <r>
    <d v="2013-10-24T00:00:00"/>
    <x v="1"/>
    <n v="25"/>
    <x v="0"/>
    <x v="4"/>
    <x v="15"/>
    <x v="1"/>
    <n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"/>
    <n v="1"/>
    <n v="1.36"/>
    <m/>
    <m/>
  </r>
  <r>
    <d v="2013-10-24T00:00:00"/>
    <x v="3"/>
    <n v="25"/>
    <x v="1"/>
    <x v="4"/>
    <x v="15"/>
    <x v="1"/>
    <n v="1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5"/>
    <n v="1"/>
    <n v="1.3"/>
    <m/>
    <m/>
  </r>
  <r>
    <d v="2013-10-24T00:00:00"/>
    <x v="5"/>
    <n v="25"/>
    <x v="2"/>
    <x v="3"/>
    <x v="15"/>
    <x v="1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"/>
    <n v="1"/>
    <n v="1.3"/>
    <m/>
    <m/>
  </r>
  <r>
    <d v="2014-10-14T00:00:00"/>
    <x v="1"/>
    <n v="23.5"/>
    <x v="0"/>
    <x v="4"/>
    <x v="16"/>
    <x v="1"/>
    <n v="29"/>
    <n v="0"/>
    <n v="0"/>
    <n v="0"/>
    <m/>
    <m/>
    <m/>
    <m/>
    <m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38"/>
    <n v="2"/>
    <n v="1.896551724137931"/>
    <m/>
    <m/>
  </r>
  <r>
    <d v="2014-10-14T00:00:00"/>
    <x v="3"/>
    <n v="23.5"/>
    <x v="1"/>
    <x v="4"/>
    <x v="16"/>
    <x v="1"/>
    <n v="45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"/>
    <n v="1"/>
    <n v="1.7777777777777777"/>
    <m/>
    <m/>
  </r>
  <r>
    <d v="2014-10-14T00:00:00"/>
    <x v="4"/>
    <n v="23.5"/>
    <x v="2"/>
    <x v="3"/>
    <x v="16"/>
    <x v="1"/>
    <n v="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</r>
  <r>
    <d v="2014-10-14T00:00:00"/>
    <x v="6"/>
    <n v="23.5"/>
    <x v="3"/>
    <x v="3"/>
    <x v="16"/>
    <x v="1"/>
    <n v="5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"/>
    <n v="1"/>
    <n v="1.5"/>
    <m/>
    <m/>
  </r>
  <r>
    <d v="2014-10-15T00:00:00"/>
    <x v="1"/>
    <n v="24"/>
    <x v="0"/>
    <x v="4"/>
    <x v="16"/>
    <x v="1"/>
    <n v="9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"/>
    <n v="6.1111111111111107"/>
    <m/>
    <m/>
  </r>
  <r>
    <d v="2014-10-15T00:00:00"/>
    <x v="3"/>
    <n v="24"/>
    <x v="1"/>
    <x v="4"/>
    <x v="16"/>
    <x v="1"/>
    <n v="8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"/>
    <n v="1.5"/>
    <m/>
    <m/>
  </r>
  <r>
    <d v="2014-10-15T00:00:00"/>
    <x v="5"/>
    <n v="24"/>
    <x v="3"/>
    <x v="3"/>
    <x v="16"/>
    <x v="1"/>
    <n v="0"/>
    <n v="0"/>
    <n v="0"/>
    <n v="3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"/>
    <n v="1"/>
    <m/>
    <m/>
  </r>
  <r>
    <d v="2014-10-16T00:00:00"/>
    <x v="1"/>
    <n v="24.25"/>
    <x v="0"/>
    <x v="4"/>
    <x v="16"/>
    <x v="1"/>
    <n v="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"/>
    <n v="1"/>
    <n v="1.9318181818181819"/>
    <m/>
    <m/>
  </r>
  <r>
    <d v="2014-10-16T00:00:00"/>
    <x v="3"/>
    <n v="24.25"/>
    <x v="1"/>
    <x v="4"/>
    <x v="16"/>
    <x v="1"/>
    <n v="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"/>
    <n v="1"/>
    <n v="1.7857142857142858"/>
    <m/>
    <m/>
  </r>
  <r>
    <d v="2014-10-16T00:00:00"/>
    <x v="6"/>
    <n v="24.25"/>
    <x v="3"/>
    <x v="3"/>
    <x v="16"/>
    <x v="1"/>
    <n v="1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7"/>
    <n v="1"/>
    <n v="1.6844919786096257"/>
    <m/>
    <m/>
  </r>
  <r>
    <d v="2014-10-17T00:00:00"/>
    <x v="1"/>
    <n v="23.25"/>
    <x v="0"/>
    <x v="4"/>
    <x v="16"/>
    <x v="1"/>
    <n v="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"/>
    <n v="1"/>
    <m/>
    <m/>
    <m/>
  </r>
  <r>
    <d v="2014-10-17T00:00:00"/>
    <x v="3"/>
    <n v="23.25"/>
    <x v="1"/>
    <x v="4"/>
    <x v="16"/>
    <x v="1"/>
    <n v="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"/>
    <n v="1"/>
    <n v="1.5833333333333333"/>
    <m/>
    <m/>
  </r>
  <r>
    <d v="2014-10-17T00:00:00"/>
    <x v="6"/>
    <n v="23.25"/>
    <x v="3"/>
    <x v="3"/>
    <x v="16"/>
    <x v="1"/>
    <n v="4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"/>
    <n v="1"/>
    <n v="1.9646799116997793"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04">
  <r>
    <d v="1998-06-02T00:00:00"/>
    <s v="Trap 1"/>
    <m/>
    <x v="0"/>
    <s v="Reference"/>
    <x v="0"/>
    <x v="0"/>
    <n v="16"/>
    <m/>
    <m/>
    <m/>
    <m/>
    <m/>
    <m/>
    <m/>
    <m/>
    <m/>
    <m/>
    <m/>
    <m/>
    <m/>
    <m/>
    <m/>
    <m/>
    <m/>
    <m/>
    <m/>
    <m/>
    <m/>
    <m/>
    <m/>
    <m/>
    <m/>
    <m/>
    <m/>
    <n v="16"/>
    <n v="1"/>
    <n v="3.4"/>
    <m/>
    <m/>
  </r>
  <r>
    <d v="1998-06-02T00:00:00"/>
    <s v="Trap 2"/>
    <m/>
    <x v="0"/>
    <s v="Reference"/>
    <x v="0"/>
    <x v="0"/>
    <n v="27"/>
    <m/>
    <m/>
    <m/>
    <m/>
    <m/>
    <m/>
    <m/>
    <m/>
    <n v="3"/>
    <m/>
    <m/>
    <m/>
    <m/>
    <m/>
    <m/>
    <m/>
    <m/>
    <m/>
    <m/>
    <m/>
    <m/>
    <m/>
    <m/>
    <m/>
    <m/>
    <m/>
    <m/>
    <n v="30"/>
    <n v="2"/>
    <n v="2.27"/>
    <m/>
    <m/>
  </r>
  <r>
    <d v="1998-06-02T00:00:00"/>
    <s v="Trap 2.5"/>
    <m/>
    <x v="0"/>
    <s v="Reference"/>
    <x v="0"/>
    <x v="0"/>
    <n v="3"/>
    <m/>
    <m/>
    <m/>
    <m/>
    <m/>
    <m/>
    <m/>
    <m/>
    <m/>
    <m/>
    <m/>
    <m/>
    <m/>
    <m/>
    <m/>
    <m/>
    <m/>
    <m/>
    <m/>
    <m/>
    <m/>
    <m/>
    <m/>
    <m/>
    <m/>
    <m/>
    <m/>
    <n v="3"/>
    <n v="1"/>
    <n v="3.3"/>
    <m/>
    <m/>
  </r>
  <r>
    <d v="1998-06-02T00:00:00"/>
    <s v="Trap 3"/>
    <m/>
    <x v="1"/>
    <s v="Restricted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</r>
  <r>
    <d v="1998-06-03T00:00:00"/>
    <s v="Trap 2"/>
    <m/>
    <x v="0"/>
    <s v="Reference"/>
    <x v="0"/>
    <x v="0"/>
    <n v="8"/>
    <m/>
    <m/>
    <m/>
    <m/>
    <m/>
    <m/>
    <m/>
    <m/>
    <m/>
    <m/>
    <m/>
    <m/>
    <m/>
    <m/>
    <m/>
    <m/>
    <m/>
    <m/>
    <m/>
    <m/>
    <m/>
    <m/>
    <m/>
    <m/>
    <m/>
    <m/>
    <m/>
    <n v="8"/>
    <n v="1"/>
    <n v="2.4"/>
    <m/>
    <m/>
  </r>
  <r>
    <d v="1998-06-03T00:00:00"/>
    <s v="Trap 2.5"/>
    <m/>
    <x v="0"/>
    <s v="Reference"/>
    <x v="0"/>
    <x v="0"/>
    <n v="26"/>
    <m/>
    <m/>
    <m/>
    <m/>
    <m/>
    <m/>
    <m/>
    <m/>
    <m/>
    <m/>
    <m/>
    <m/>
    <m/>
    <m/>
    <m/>
    <m/>
    <m/>
    <m/>
    <m/>
    <m/>
    <m/>
    <m/>
    <m/>
    <m/>
    <m/>
    <m/>
    <m/>
    <n v="26"/>
    <n v="1"/>
    <n v="3.6"/>
    <m/>
    <m/>
  </r>
  <r>
    <d v="1998-06-03T00:00:00"/>
    <s v="Trap 3"/>
    <m/>
    <x v="1"/>
    <s v="Restricted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1"/>
    <m/>
    <m/>
    <m/>
  </r>
  <r>
    <d v="1998-06-04T00:00:00"/>
    <s v="Trap 1"/>
    <m/>
    <x v="0"/>
    <s v="Reference"/>
    <x v="0"/>
    <x v="0"/>
    <n v="62"/>
    <m/>
    <m/>
    <m/>
    <m/>
    <m/>
    <m/>
    <m/>
    <m/>
    <m/>
    <m/>
    <m/>
    <m/>
    <m/>
    <m/>
    <m/>
    <m/>
    <m/>
    <m/>
    <m/>
    <m/>
    <m/>
    <m/>
    <m/>
    <m/>
    <m/>
    <m/>
    <m/>
    <n v="62"/>
    <n v="1"/>
    <n v="2.1"/>
    <m/>
    <m/>
  </r>
  <r>
    <d v="1998-06-04T00:00:00"/>
    <s v="Trap 2"/>
    <m/>
    <x v="0"/>
    <s v="Reference"/>
    <x v="0"/>
    <x v="0"/>
    <n v="2"/>
    <m/>
    <m/>
    <m/>
    <m/>
    <m/>
    <m/>
    <m/>
    <m/>
    <m/>
    <m/>
    <m/>
    <m/>
    <m/>
    <m/>
    <m/>
    <m/>
    <m/>
    <m/>
    <m/>
    <m/>
    <m/>
    <m/>
    <m/>
    <m/>
    <m/>
    <m/>
    <m/>
    <n v="2"/>
    <n v="1"/>
    <m/>
    <m/>
    <m/>
  </r>
  <r>
    <d v="1998-06-04T00:00:00"/>
    <s v="Trap 2.5"/>
    <m/>
    <x v="0"/>
    <s v="Reference"/>
    <x v="0"/>
    <x v="0"/>
    <n v="36"/>
    <m/>
    <m/>
    <m/>
    <m/>
    <m/>
    <m/>
    <m/>
    <m/>
    <m/>
    <m/>
    <m/>
    <m/>
    <m/>
    <m/>
    <m/>
    <m/>
    <m/>
    <m/>
    <m/>
    <m/>
    <m/>
    <m/>
    <m/>
    <m/>
    <m/>
    <m/>
    <m/>
    <n v="36"/>
    <n v="1"/>
    <n v="1.7"/>
    <m/>
    <m/>
  </r>
  <r>
    <d v="1998-06-04T00:00:00"/>
    <s v="Trap 3"/>
    <m/>
    <x v="1"/>
    <s v="Restricted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</r>
  <r>
    <d v="1998-06-09T00:00:00"/>
    <s v="Trap 1"/>
    <m/>
    <x v="0"/>
    <s v="Reference"/>
    <x v="0"/>
    <x v="0"/>
    <n v="15"/>
    <m/>
    <m/>
    <m/>
    <m/>
    <m/>
    <m/>
    <m/>
    <m/>
    <n v="1"/>
    <m/>
    <m/>
    <m/>
    <m/>
    <m/>
    <m/>
    <m/>
    <m/>
    <m/>
    <m/>
    <m/>
    <m/>
    <m/>
    <m/>
    <m/>
    <m/>
    <m/>
    <m/>
    <n v="16"/>
    <n v="3"/>
    <n v="1.6"/>
    <m/>
    <m/>
  </r>
  <r>
    <d v="1998-06-09T00:00:00"/>
    <s v="Trap 2"/>
    <m/>
    <x v="0"/>
    <s v="Reference"/>
    <x v="0"/>
    <x v="0"/>
    <n v="1"/>
    <m/>
    <m/>
    <m/>
    <m/>
    <m/>
    <m/>
    <m/>
    <m/>
    <m/>
    <m/>
    <n v="1"/>
    <m/>
    <m/>
    <m/>
    <m/>
    <m/>
    <m/>
    <m/>
    <m/>
    <m/>
    <m/>
    <m/>
    <m/>
    <m/>
    <m/>
    <m/>
    <m/>
    <n v="2"/>
    <n v="2"/>
    <n v="5"/>
    <m/>
    <m/>
  </r>
  <r>
    <d v="1998-06-09T00:00:00"/>
    <s v="Trap 2.5"/>
    <m/>
    <x v="0"/>
    <s v="Reference"/>
    <x v="0"/>
    <x v="0"/>
    <n v="1"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n v="2"/>
    <m/>
    <m/>
  </r>
  <r>
    <d v="1998-06-09T00:00:00"/>
    <s v="Trap 3"/>
    <m/>
    <x v="1"/>
    <s v="Restricted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</r>
  <r>
    <d v="1998-06-10T00:00:00"/>
    <s v="Trap 1"/>
    <m/>
    <x v="0"/>
    <s v="Reference"/>
    <x v="0"/>
    <x v="0"/>
    <n v="56"/>
    <m/>
    <m/>
    <m/>
    <m/>
    <m/>
    <m/>
    <m/>
    <m/>
    <m/>
    <n v="1"/>
    <m/>
    <m/>
    <m/>
    <m/>
    <m/>
    <m/>
    <m/>
    <m/>
    <m/>
    <m/>
    <m/>
    <m/>
    <m/>
    <m/>
    <m/>
    <m/>
    <m/>
    <n v="57"/>
    <n v="2"/>
    <n v="1.6"/>
    <m/>
    <m/>
  </r>
  <r>
    <d v="1998-06-10T00:00:00"/>
    <s v="Trap 2"/>
    <m/>
    <x v="0"/>
    <s v="Reference"/>
    <x v="0"/>
    <x v="0"/>
    <n v="69"/>
    <m/>
    <m/>
    <m/>
    <m/>
    <m/>
    <m/>
    <m/>
    <m/>
    <m/>
    <m/>
    <m/>
    <m/>
    <m/>
    <m/>
    <m/>
    <m/>
    <m/>
    <m/>
    <m/>
    <m/>
    <m/>
    <m/>
    <m/>
    <m/>
    <m/>
    <m/>
    <m/>
    <n v="69"/>
    <n v="1"/>
    <n v="2.17"/>
    <m/>
    <m/>
  </r>
  <r>
    <d v="1998-06-10T00:00:00"/>
    <s v="Trap 2.5"/>
    <m/>
    <x v="0"/>
    <s v="Reference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n v="1"/>
    <n v="1.8"/>
    <m/>
    <m/>
  </r>
  <r>
    <d v="1998-06-10T00:00:00"/>
    <s v="Trap 3"/>
    <m/>
    <x v="1"/>
    <s v="Restricted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</r>
  <r>
    <d v="1998-06-12T00:00:00"/>
    <s v="Trap 1"/>
    <m/>
    <x v="0"/>
    <s v="Reference"/>
    <x v="0"/>
    <x v="0"/>
    <n v="58"/>
    <m/>
    <m/>
    <m/>
    <m/>
    <m/>
    <m/>
    <m/>
    <m/>
    <m/>
    <m/>
    <m/>
    <m/>
    <m/>
    <m/>
    <m/>
    <m/>
    <n v="1"/>
    <m/>
    <m/>
    <m/>
    <m/>
    <m/>
    <m/>
    <m/>
    <m/>
    <m/>
    <m/>
    <n v="59"/>
    <n v="1"/>
    <m/>
    <m/>
    <m/>
  </r>
  <r>
    <d v="1998-06-12T00:00:00"/>
    <s v="Trap 2"/>
    <m/>
    <x v="0"/>
    <s v="Reference"/>
    <x v="0"/>
    <x v="0"/>
    <n v="48"/>
    <m/>
    <m/>
    <m/>
    <m/>
    <m/>
    <m/>
    <m/>
    <m/>
    <m/>
    <m/>
    <m/>
    <m/>
    <m/>
    <m/>
    <m/>
    <m/>
    <m/>
    <m/>
    <m/>
    <m/>
    <m/>
    <m/>
    <m/>
    <m/>
    <m/>
    <m/>
    <m/>
    <n v="48"/>
    <n v="1"/>
    <m/>
    <m/>
    <m/>
  </r>
  <r>
    <d v="1998-10-02T00:00:00"/>
    <s v="Trap 1"/>
    <n v="26"/>
    <x v="0"/>
    <s v="Reference"/>
    <x v="0"/>
    <x v="1"/>
    <n v="58"/>
    <m/>
    <m/>
    <m/>
    <m/>
    <m/>
    <m/>
    <m/>
    <m/>
    <m/>
    <m/>
    <m/>
    <m/>
    <m/>
    <m/>
    <m/>
    <m/>
    <n v="1"/>
    <m/>
    <m/>
    <m/>
    <m/>
    <m/>
    <m/>
    <m/>
    <m/>
    <m/>
    <m/>
    <n v="59"/>
    <n v="2"/>
    <n v="1.6"/>
    <m/>
    <m/>
  </r>
  <r>
    <d v="1998-10-02T00:00:00"/>
    <s v="Trap 2"/>
    <n v="25"/>
    <x v="0"/>
    <s v="Reference"/>
    <x v="0"/>
    <x v="1"/>
    <n v="11"/>
    <m/>
    <m/>
    <m/>
    <m/>
    <m/>
    <m/>
    <m/>
    <m/>
    <m/>
    <m/>
    <m/>
    <m/>
    <m/>
    <m/>
    <m/>
    <m/>
    <m/>
    <m/>
    <m/>
    <m/>
    <m/>
    <m/>
    <m/>
    <m/>
    <m/>
    <m/>
    <m/>
    <n v="11"/>
    <n v="1"/>
    <n v="1.6"/>
    <m/>
    <m/>
  </r>
  <r>
    <d v="1998-10-02T00:00:00"/>
    <s v="Trap 3"/>
    <n v="24.5"/>
    <x v="1"/>
    <s v="Restricted"/>
    <x v="0"/>
    <x v="1"/>
    <n v="7"/>
    <m/>
    <m/>
    <m/>
    <m/>
    <m/>
    <m/>
    <m/>
    <m/>
    <m/>
    <m/>
    <m/>
    <m/>
    <m/>
    <m/>
    <m/>
    <m/>
    <m/>
    <m/>
    <m/>
    <m/>
    <m/>
    <m/>
    <m/>
    <m/>
    <m/>
    <m/>
    <m/>
    <n v="7"/>
    <n v="1"/>
    <n v="1.4"/>
    <m/>
    <m/>
  </r>
  <r>
    <d v="1998-10-12T00:00:00"/>
    <s v="Trap 1"/>
    <n v="12"/>
    <x v="0"/>
    <s v="Reference"/>
    <x v="0"/>
    <x v="1"/>
    <n v="85"/>
    <m/>
    <m/>
    <m/>
    <m/>
    <m/>
    <m/>
    <m/>
    <m/>
    <m/>
    <m/>
    <m/>
    <m/>
    <m/>
    <m/>
    <m/>
    <m/>
    <m/>
    <m/>
    <m/>
    <m/>
    <m/>
    <m/>
    <m/>
    <m/>
    <m/>
    <m/>
    <m/>
    <n v="85"/>
    <n v="1"/>
    <n v="1.2"/>
    <m/>
    <m/>
  </r>
  <r>
    <d v="1998-10-12T00:00:00"/>
    <s v="Trap 2"/>
    <n v="13"/>
    <x v="0"/>
    <s v="Reference"/>
    <x v="0"/>
    <x v="1"/>
    <n v="22"/>
    <m/>
    <m/>
    <m/>
    <m/>
    <m/>
    <m/>
    <m/>
    <m/>
    <m/>
    <m/>
    <m/>
    <m/>
    <m/>
    <m/>
    <m/>
    <m/>
    <m/>
    <m/>
    <m/>
    <m/>
    <m/>
    <m/>
    <m/>
    <m/>
    <m/>
    <m/>
    <m/>
    <n v="22"/>
    <n v="1"/>
    <n v="1.3"/>
    <m/>
    <m/>
  </r>
  <r>
    <d v="1998-10-12T00:00:00"/>
    <s v="Trap 3"/>
    <n v="13"/>
    <x v="1"/>
    <s v="Restricted"/>
    <x v="0"/>
    <x v="1"/>
    <n v="2"/>
    <m/>
    <m/>
    <m/>
    <m/>
    <m/>
    <m/>
    <m/>
    <m/>
    <m/>
    <m/>
    <m/>
    <m/>
    <m/>
    <m/>
    <m/>
    <m/>
    <m/>
    <m/>
    <m/>
    <m/>
    <m/>
    <m/>
    <m/>
    <m/>
    <m/>
    <m/>
    <m/>
    <n v="2"/>
    <n v="1"/>
    <n v="1.3"/>
    <m/>
    <m/>
  </r>
  <r>
    <d v="1998-10-13T00:00:00"/>
    <s v="Trap 1"/>
    <n v="11"/>
    <x v="0"/>
    <s v="Reference"/>
    <x v="0"/>
    <x v="1"/>
    <n v="18"/>
    <m/>
    <m/>
    <m/>
    <m/>
    <m/>
    <m/>
    <m/>
    <m/>
    <m/>
    <m/>
    <m/>
    <m/>
    <m/>
    <m/>
    <m/>
    <m/>
    <m/>
    <m/>
    <m/>
    <m/>
    <m/>
    <m/>
    <m/>
    <m/>
    <m/>
    <m/>
    <m/>
    <n v="18"/>
    <n v="1"/>
    <n v="1.1000000000000001"/>
    <m/>
    <m/>
  </r>
  <r>
    <d v="1998-10-13T00:00:00"/>
    <s v="Trap 2"/>
    <n v="10"/>
    <x v="0"/>
    <s v="Reference"/>
    <x v="0"/>
    <x v="1"/>
    <n v="83"/>
    <m/>
    <n v="1"/>
    <m/>
    <m/>
    <m/>
    <m/>
    <m/>
    <m/>
    <m/>
    <n v="1"/>
    <m/>
    <m/>
    <m/>
    <m/>
    <m/>
    <m/>
    <m/>
    <m/>
    <m/>
    <m/>
    <m/>
    <m/>
    <m/>
    <m/>
    <m/>
    <m/>
    <m/>
    <n v="85"/>
    <n v="3"/>
    <n v="1.2"/>
    <m/>
    <m/>
  </r>
  <r>
    <d v="1998-10-13T00:00:00"/>
    <s v="Trap 3"/>
    <n v="11"/>
    <x v="1"/>
    <s v="Restricted"/>
    <x v="0"/>
    <x v="1"/>
    <n v="2"/>
    <m/>
    <m/>
    <m/>
    <m/>
    <m/>
    <m/>
    <m/>
    <m/>
    <m/>
    <m/>
    <m/>
    <m/>
    <m/>
    <m/>
    <m/>
    <m/>
    <m/>
    <m/>
    <m/>
    <m/>
    <m/>
    <m/>
    <m/>
    <m/>
    <m/>
    <m/>
    <m/>
    <n v="2"/>
    <n v="1"/>
    <n v="1.1000000000000001"/>
    <m/>
    <m/>
  </r>
  <r>
    <d v="1998-10-14T00:00:00"/>
    <s v="Trap 1"/>
    <n v="11"/>
    <x v="0"/>
    <s v="Reference"/>
    <x v="0"/>
    <x v="1"/>
    <n v="9"/>
    <m/>
    <m/>
    <n v="1"/>
    <m/>
    <m/>
    <m/>
    <m/>
    <m/>
    <m/>
    <n v="2"/>
    <m/>
    <m/>
    <m/>
    <n v="2"/>
    <m/>
    <m/>
    <n v="1"/>
    <m/>
    <m/>
    <m/>
    <m/>
    <m/>
    <m/>
    <m/>
    <m/>
    <m/>
    <m/>
    <n v="15"/>
    <n v="4"/>
    <n v="1.2"/>
    <m/>
    <m/>
  </r>
  <r>
    <d v="1998-10-14T00:00:00"/>
    <s v="Trap 2"/>
    <n v="11"/>
    <x v="0"/>
    <s v="Reference"/>
    <x v="0"/>
    <x v="1"/>
    <n v="9"/>
    <m/>
    <m/>
    <m/>
    <m/>
    <m/>
    <m/>
    <m/>
    <m/>
    <m/>
    <m/>
    <m/>
    <m/>
    <m/>
    <m/>
    <m/>
    <m/>
    <m/>
    <m/>
    <m/>
    <m/>
    <m/>
    <m/>
    <m/>
    <m/>
    <m/>
    <m/>
    <m/>
    <n v="9"/>
    <n v="1"/>
    <n v="1.3"/>
    <m/>
    <m/>
  </r>
  <r>
    <d v="1998-10-14T00:00:00"/>
    <s v="Trap 3"/>
    <n v="11"/>
    <x v="1"/>
    <s v="Restricted"/>
    <x v="0"/>
    <x v="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</r>
  <r>
    <d v="1999-10-19T00:00:00"/>
    <s v="Trap 1"/>
    <n v="20"/>
    <x v="0"/>
    <s v="Reference"/>
    <x v="1"/>
    <x v="1"/>
    <n v="86"/>
    <m/>
    <m/>
    <m/>
    <m/>
    <m/>
    <m/>
    <m/>
    <m/>
    <m/>
    <m/>
    <m/>
    <m/>
    <m/>
    <m/>
    <m/>
    <m/>
    <m/>
    <m/>
    <m/>
    <m/>
    <m/>
    <m/>
    <m/>
    <m/>
    <m/>
    <m/>
    <m/>
    <n v="86"/>
    <m/>
    <n v="1.91"/>
    <m/>
    <m/>
  </r>
  <r>
    <d v="1999-10-19T00:00:00"/>
    <s v="Trap 2"/>
    <n v="21.5"/>
    <x v="0"/>
    <s v="Reference"/>
    <x v="1"/>
    <x v="1"/>
    <n v="138"/>
    <m/>
    <m/>
    <m/>
    <m/>
    <m/>
    <m/>
    <m/>
    <m/>
    <m/>
    <m/>
    <m/>
    <m/>
    <m/>
    <m/>
    <m/>
    <m/>
    <m/>
    <m/>
    <m/>
    <m/>
    <m/>
    <m/>
    <m/>
    <m/>
    <m/>
    <m/>
    <m/>
    <n v="138"/>
    <m/>
    <n v="1.95"/>
    <m/>
    <m/>
  </r>
  <r>
    <d v="1999-10-19T00:00:00"/>
    <s v="Trap 3"/>
    <n v="21.5"/>
    <x v="1"/>
    <s v="Restricted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</r>
  <r>
    <d v="1999-10-21T00:00:00"/>
    <s v="Trap 2"/>
    <n v="0"/>
    <x v="0"/>
    <s v="Reference"/>
    <x v="1"/>
    <x v="1"/>
    <n v="72"/>
    <m/>
    <m/>
    <m/>
    <m/>
    <m/>
    <m/>
    <m/>
    <m/>
    <m/>
    <m/>
    <m/>
    <m/>
    <m/>
    <m/>
    <m/>
    <m/>
    <m/>
    <m/>
    <m/>
    <m/>
    <m/>
    <m/>
    <m/>
    <m/>
    <m/>
    <m/>
    <m/>
    <n v="72"/>
    <m/>
    <n v="2.15"/>
    <m/>
    <m/>
  </r>
  <r>
    <d v="1999-10-21T00:00:00"/>
    <s v="Trap 3"/>
    <m/>
    <x v="1"/>
    <s v="Restricted"/>
    <x v="1"/>
    <x v="1"/>
    <n v="12"/>
    <m/>
    <m/>
    <m/>
    <m/>
    <m/>
    <m/>
    <m/>
    <m/>
    <m/>
    <m/>
    <m/>
    <m/>
    <m/>
    <m/>
    <m/>
    <m/>
    <m/>
    <m/>
    <m/>
    <m/>
    <m/>
    <m/>
    <m/>
    <m/>
    <m/>
    <m/>
    <m/>
    <n v="12"/>
    <m/>
    <n v="1.25"/>
    <m/>
    <m/>
  </r>
  <r>
    <d v="1999-10-21T00:00:00"/>
    <s v="Boomerang"/>
    <m/>
    <x v="2"/>
    <s v="Pannes Cleared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</r>
  <r>
    <d v="1999-10-21T00:00:00"/>
    <s v="Doughnut Hole"/>
    <n v="23.5"/>
    <x v="2"/>
    <s v="Pannes Cleared"/>
    <x v="1"/>
    <x v="1"/>
    <n v="285"/>
    <m/>
    <m/>
    <m/>
    <m/>
    <m/>
    <m/>
    <m/>
    <m/>
    <m/>
    <m/>
    <m/>
    <m/>
    <m/>
    <m/>
    <m/>
    <m/>
    <m/>
    <m/>
    <m/>
    <m/>
    <m/>
    <m/>
    <m/>
    <m/>
    <m/>
    <m/>
    <m/>
    <n v="285"/>
    <m/>
    <n v="1.8"/>
    <m/>
    <m/>
  </r>
  <r>
    <d v="1999-10-25T00:00:00"/>
    <s v="Trap 2.5"/>
    <n v="20"/>
    <x v="0"/>
    <s v="Reference"/>
    <x v="1"/>
    <x v="1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n v="3.21"/>
    <m/>
    <m/>
  </r>
  <r>
    <d v="1999-10-25T00:00:00"/>
    <s v="Trap 3"/>
    <n v="3.5"/>
    <x v="1"/>
    <s v="Restricted"/>
    <x v="1"/>
    <x v="1"/>
    <n v="13"/>
    <m/>
    <m/>
    <m/>
    <m/>
    <m/>
    <m/>
    <m/>
    <m/>
    <m/>
    <m/>
    <m/>
    <m/>
    <m/>
    <m/>
    <m/>
    <m/>
    <m/>
    <m/>
    <m/>
    <m/>
    <m/>
    <m/>
    <m/>
    <m/>
    <m/>
    <m/>
    <m/>
    <n v="13"/>
    <m/>
    <n v="2.84"/>
    <m/>
    <m/>
  </r>
  <r>
    <d v="1999-10-25T00:00:00"/>
    <s v="Boomerang"/>
    <n v="2.5"/>
    <x v="2"/>
    <s v="Pannes Cleared"/>
    <x v="1"/>
    <x v="1"/>
    <n v="74"/>
    <m/>
    <m/>
    <m/>
    <m/>
    <m/>
    <m/>
    <m/>
    <m/>
    <m/>
    <m/>
    <m/>
    <m/>
    <m/>
    <m/>
    <m/>
    <m/>
    <m/>
    <m/>
    <m/>
    <m/>
    <m/>
    <m/>
    <m/>
    <m/>
    <m/>
    <m/>
    <m/>
    <n v="74"/>
    <m/>
    <n v="2.2200000000000002"/>
    <m/>
    <m/>
  </r>
  <r>
    <d v="1999-10-25T00:00:00"/>
    <s v="Doughnut Hole"/>
    <m/>
    <x v="2"/>
    <s v="Pannes Cleared"/>
    <x v="1"/>
    <x v="1"/>
    <n v="21"/>
    <m/>
    <m/>
    <m/>
    <m/>
    <m/>
    <m/>
    <m/>
    <m/>
    <n v="1"/>
    <m/>
    <m/>
    <m/>
    <m/>
    <m/>
    <m/>
    <m/>
    <m/>
    <m/>
    <m/>
    <m/>
    <m/>
    <m/>
    <m/>
    <m/>
    <m/>
    <m/>
    <m/>
    <n v="22"/>
    <m/>
    <n v="3.81"/>
    <m/>
    <m/>
  </r>
  <r>
    <d v="1999-10-26T00:00:00"/>
    <s v="Trap 1"/>
    <n v="26"/>
    <x v="0"/>
    <s v="Reference"/>
    <x v="1"/>
    <x v="1"/>
    <n v="24"/>
    <m/>
    <m/>
    <m/>
    <m/>
    <m/>
    <m/>
    <m/>
    <m/>
    <m/>
    <m/>
    <m/>
    <m/>
    <m/>
    <m/>
    <m/>
    <m/>
    <n v="1"/>
    <m/>
    <m/>
    <m/>
    <m/>
    <m/>
    <m/>
    <m/>
    <m/>
    <m/>
    <m/>
    <n v="25"/>
    <m/>
    <n v="2.54"/>
    <m/>
    <m/>
  </r>
  <r>
    <d v="1999-10-26T00:00:00"/>
    <s v="Trap 2"/>
    <n v="26"/>
    <x v="0"/>
    <s v="Reference"/>
    <x v="1"/>
    <x v="1"/>
    <n v="23"/>
    <m/>
    <m/>
    <m/>
    <m/>
    <m/>
    <m/>
    <m/>
    <m/>
    <m/>
    <m/>
    <m/>
    <m/>
    <m/>
    <m/>
    <m/>
    <m/>
    <m/>
    <m/>
    <m/>
    <m/>
    <m/>
    <m/>
    <m/>
    <m/>
    <m/>
    <m/>
    <m/>
    <n v="23"/>
    <m/>
    <n v="2.6"/>
    <m/>
    <m/>
  </r>
  <r>
    <d v="1999-10-26T00:00:00"/>
    <s v="Trap 2.5"/>
    <n v="18.5"/>
    <x v="0"/>
    <s v="Reference"/>
    <x v="1"/>
    <x v="1"/>
    <n v="38"/>
    <m/>
    <m/>
    <m/>
    <m/>
    <m/>
    <m/>
    <m/>
    <m/>
    <m/>
    <m/>
    <m/>
    <m/>
    <m/>
    <m/>
    <m/>
    <m/>
    <m/>
    <m/>
    <m/>
    <m/>
    <m/>
    <m/>
    <m/>
    <m/>
    <m/>
    <m/>
    <m/>
    <n v="38"/>
    <m/>
    <n v="3.3"/>
    <m/>
    <m/>
  </r>
  <r>
    <d v="1999-10-26T00:00:00"/>
    <s v="Trap 3"/>
    <n v="19.5"/>
    <x v="1"/>
    <s v="Restricted"/>
    <x v="1"/>
    <x v="1"/>
    <n v="8"/>
    <m/>
    <m/>
    <m/>
    <m/>
    <m/>
    <m/>
    <m/>
    <m/>
    <m/>
    <m/>
    <m/>
    <m/>
    <m/>
    <n v="1"/>
    <m/>
    <m/>
    <m/>
    <m/>
    <m/>
    <m/>
    <m/>
    <m/>
    <m/>
    <m/>
    <m/>
    <m/>
    <m/>
    <n v="9"/>
    <m/>
    <n v="2.5"/>
    <m/>
    <m/>
  </r>
  <r>
    <d v="1999-10-26T00:00:00"/>
    <s v="Boomerang"/>
    <n v="18.5"/>
    <x v="2"/>
    <s v="Pannes Cleared"/>
    <x v="1"/>
    <x v="1"/>
    <n v="234"/>
    <m/>
    <m/>
    <m/>
    <m/>
    <m/>
    <m/>
    <m/>
    <m/>
    <m/>
    <m/>
    <m/>
    <m/>
    <m/>
    <m/>
    <m/>
    <m/>
    <m/>
    <m/>
    <m/>
    <m/>
    <m/>
    <m/>
    <m/>
    <m/>
    <m/>
    <m/>
    <m/>
    <n v="234"/>
    <m/>
    <n v="2.48"/>
    <m/>
    <m/>
  </r>
  <r>
    <d v="1999-10-26T00:00:00"/>
    <s v="Doughnut Hole"/>
    <n v="18.5"/>
    <x v="2"/>
    <s v="Pannes Cleared"/>
    <x v="1"/>
    <x v="1"/>
    <n v="341"/>
    <m/>
    <m/>
    <m/>
    <m/>
    <m/>
    <m/>
    <m/>
    <m/>
    <m/>
    <m/>
    <m/>
    <m/>
    <m/>
    <m/>
    <m/>
    <m/>
    <m/>
    <m/>
    <m/>
    <m/>
    <m/>
    <m/>
    <m/>
    <m/>
    <m/>
    <m/>
    <m/>
    <n v="341"/>
    <m/>
    <n v="2.41"/>
    <m/>
    <m/>
  </r>
  <r>
    <d v="1999-10-27T00:00:00"/>
    <s v="Trap 2.5"/>
    <n v="25.5"/>
    <x v="0"/>
    <s v="Reference"/>
    <x v="1"/>
    <x v="1"/>
    <n v="96"/>
    <m/>
    <m/>
    <m/>
    <m/>
    <m/>
    <m/>
    <m/>
    <m/>
    <m/>
    <m/>
    <m/>
    <m/>
    <m/>
    <m/>
    <m/>
    <m/>
    <n v="3"/>
    <m/>
    <m/>
    <m/>
    <m/>
    <m/>
    <m/>
    <m/>
    <m/>
    <m/>
    <m/>
    <n v="99"/>
    <m/>
    <n v="2.86"/>
    <m/>
    <m/>
  </r>
  <r>
    <d v="2000-05-22T00:00:00"/>
    <s v="Boomerang"/>
    <m/>
    <x v="2"/>
    <s v="Pannes Cleared"/>
    <x v="2"/>
    <x v="0"/>
    <n v="155"/>
    <m/>
    <n v="3"/>
    <m/>
    <m/>
    <m/>
    <m/>
    <m/>
    <m/>
    <m/>
    <m/>
    <m/>
    <m/>
    <m/>
    <m/>
    <m/>
    <m/>
    <m/>
    <m/>
    <m/>
    <m/>
    <m/>
    <m/>
    <m/>
    <m/>
    <m/>
    <m/>
    <m/>
    <n v="158"/>
    <n v="2"/>
    <n v="3.3"/>
    <m/>
    <m/>
  </r>
  <r>
    <d v="2000-05-22T00:00:00"/>
    <s v="Trap 1"/>
    <m/>
    <x v="0"/>
    <s v="Reference"/>
    <x v="2"/>
    <x v="0"/>
    <n v="68"/>
    <m/>
    <m/>
    <m/>
    <m/>
    <m/>
    <m/>
    <m/>
    <m/>
    <m/>
    <m/>
    <m/>
    <m/>
    <m/>
    <m/>
    <m/>
    <m/>
    <m/>
    <m/>
    <m/>
    <m/>
    <m/>
    <m/>
    <m/>
    <m/>
    <m/>
    <m/>
    <m/>
    <n v="68"/>
    <n v="1"/>
    <n v="2.57"/>
    <m/>
    <m/>
  </r>
  <r>
    <d v="2000-05-22T00:00:00"/>
    <s v="Trap 2"/>
    <m/>
    <x v="0"/>
    <s v="Reference"/>
    <x v="2"/>
    <x v="0"/>
    <n v="97"/>
    <m/>
    <m/>
    <m/>
    <m/>
    <m/>
    <m/>
    <m/>
    <m/>
    <m/>
    <m/>
    <m/>
    <m/>
    <m/>
    <m/>
    <m/>
    <m/>
    <m/>
    <m/>
    <m/>
    <m/>
    <m/>
    <m/>
    <m/>
    <m/>
    <m/>
    <m/>
    <m/>
    <n v="97"/>
    <n v="1"/>
    <n v="2.57"/>
    <m/>
    <m/>
  </r>
  <r>
    <d v="2000-05-22T00:00:00"/>
    <s v="Trap 3"/>
    <m/>
    <x v="1"/>
    <s v="Restricted"/>
    <x v="2"/>
    <x v="0"/>
    <n v="4"/>
    <m/>
    <m/>
    <m/>
    <m/>
    <m/>
    <m/>
    <m/>
    <m/>
    <m/>
    <m/>
    <m/>
    <m/>
    <m/>
    <m/>
    <n v="3"/>
    <m/>
    <m/>
    <m/>
    <m/>
    <m/>
    <m/>
    <m/>
    <m/>
    <m/>
    <m/>
    <m/>
    <m/>
    <n v="7"/>
    <n v="2"/>
    <n v="5"/>
    <m/>
    <m/>
  </r>
  <r>
    <d v="2000-05-23T00:00:00"/>
    <s v="Boomerang"/>
    <m/>
    <x v="2"/>
    <s v="Pannes Cleared"/>
    <x v="2"/>
    <x v="0"/>
    <n v="184"/>
    <m/>
    <m/>
    <m/>
    <m/>
    <m/>
    <m/>
    <m/>
    <m/>
    <m/>
    <m/>
    <m/>
    <m/>
    <m/>
    <m/>
    <m/>
    <m/>
    <m/>
    <m/>
    <m/>
    <m/>
    <m/>
    <m/>
    <m/>
    <m/>
    <m/>
    <m/>
    <m/>
    <n v="184"/>
    <n v="1"/>
    <n v="5"/>
    <m/>
    <m/>
  </r>
  <r>
    <d v="2000-05-23T00:00:00"/>
    <s v="Doughnut Hole"/>
    <m/>
    <x v="2"/>
    <s v="Pannes Cleared"/>
    <x v="2"/>
    <x v="0"/>
    <n v="229"/>
    <m/>
    <m/>
    <m/>
    <m/>
    <m/>
    <m/>
    <m/>
    <m/>
    <m/>
    <m/>
    <m/>
    <m/>
    <m/>
    <m/>
    <m/>
    <m/>
    <m/>
    <m/>
    <m/>
    <m/>
    <m/>
    <m/>
    <m/>
    <m/>
    <m/>
    <m/>
    <m/>
    <n v="229"/>
    <n v="1"/>
    <n v="5"/>
    <m/>
    <m/>
  </r>
  <r>
    <d v="2000-05-23T00:00:00"/>
    <s v="Trap 1"/>
    <m/>
    <x v="0"/>
    <s v="Reference"/>
    <x v="2"/>
    <x v="0"/>
    <n v="87"/>
    <m/>
    <m/>
    <m/>
    <m/>
    <m/>
    <m/>
    <m/>
    <m/>
    <m/>
    <m/>
    <m/>
    <m/>
    <m/>
    <m/>
    <m/>
    <m/>
    <m/>
    <m/>
    <m/>
    <m/>
    <m/>
    <m/>
    <m/>
    <m/>
    <m/>
    <m/>
    <m/>
    <n v="87"/>
    <n v="1"/>
    <n v="3.32"/>
    <m/>
    <m/>
  </r>
  <r>
    <d v="2000-05-23T00:00:00"/>
    <s v="Trap 2"/>
    <m/>
    <x v="0"/>
    <s v="Reference"/>
    <x v="2"/>
    <x v="0"/>
    <n v="16"/>
    <m/>
    <m/>
    <m/>
    <m/>
    <m/>
    <m/>
    <m/>
    <m/>
    <m/>
    <m/>
    <m/>
    <m/>
    <m/>
    <m/>
    <m/>
    <m/>
    <m/>
    <m/>
    <m/>
    <m/>
    <m/>
    <m/>
    <m/>
    <m/>
    <m/>
    <m/>
    <m/>
    <n v="16"/>
    <n v="1"/>
    <n v="2.35"/>
    <m/>
    <m/>
  </r>
  <r>
    <d v="2000-05-23T00:00:00"/>
    <s v="Trap 2.5"/>
    <m/>
    <x v="0"/>
    <s v="Reference"/>
    <x v="2"/>
    <x v="0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</r>
  <r>
    <d v="2000-05-23T00:00:00"/>
    <s v="Trap 3"/>
    <m/>
    <x v="1"/>
    <s v="Restricted"/>
    <x v="2"/>
    <x v="0"/>
    <n v="1"/>
    <m/>
    <m/>
    <m/>
    <m/>
    <m/>
    <m/>
    <m/>
    <m/>
    <m/>
    <m/>
    <m/>
    <m/>
    <m/>
    <m/>
    <m/>
    <m/>
    <m/>
    <m/>
    <m/>
    <m/>
    <m/>
    <m/>
    <m/>
    <m/>
    <m/>
    <m/>
    <n v="1"/>
    <n v="2"/>
    <n v="2"/>
    <n v="2.5"/>
    <m/>
    <m/>
  </r>
  <r>
    <d v="2000-05-25T00:00:00"/>
    <s v="Boomerang"/>
    <m/>
    <x v="2"/>
    <s v="Pannes Cleared"/>
    <x v="2"/>
    <x v="0"/>
    <n v="89"/>
    <m/>
    <n v="1"/>
    <m/>
    <m/>
    <m/>
    <m/>
    <m/>
    <m/>
    <m/>
    <m/>
    <m/>
    <m/>
    <m/>
    <m/>
    <m/>
    <m/>
    <m/>
    <m/>
    <m/>
    <m/>
    <m/>
    <m/>
    <m/>
    <m/>
    <m/>
    <m/>
    <m/>
    <n v="90"/>
    <n v="2"/>
    <n v="2.2000000000000002"/>
    <m/>
    <m/>
  </r>
  <r>
    <d v="2000-05-25T00:00:00"/>
    <s v="Doughnut Hole"/>
    <m/>
    <x v="2"/>
    <s v="Pannes Cleared"/>
    <x v="2"/>
    <x v="0"/>
    <n v="215"/>
    <m/>
    <m/>
    <m/>
    <m/>
    <m/>
    <m/>
    <m/>
    <m/>
    <m/>
    <m/>
    <m/>
    <m/>
    <m/>
    <n v="1"/>
    <m/>
    <m/>
    <m/>
    <m/>
    <m/>
    <m/>
    <m/>
    <m/>
    <m/>
    <m/>
    <m/>
    <m/>
    <m/>
    <n v="216"/>
    <n v="2"/>
    <n v="4.3"/>
    <m/>
    <m/>
  </r>
  <r>
    <d v="2000-05-25T00:00:00"/>
    <s v="Trap 1"/>
    <m/>
    <x v="0"/>
    <s v="Reference"/>
    <x v="2"/>
    <x v="0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</r>
  <r>
    <d v="2000-05-25T00:00:00"/>
    <s v="Trap 2"/>
    <m/>
    <x v="0"/>
    <s v="Reference"/>
    <x v="2"/>
    <x v="0"/>
    <n v="2"/>
    <m/>
    <m/>
    <m/>
    <m/>
    <m/>
    <m/>
    <m/>
    <m/>
    <m/>
    <m/>
    <m/>
    <m/>
    <m/>
    <m/>
    <m/>
    <m/>
    <m/>
    <m/>
    <m/>
    <m/>
    <m/>
    <m/>
    <m/>
    <m/>
    <m/>
    <m/>
    <m/>
    <n v="2"/>
    <n v="1"/>
    <m/>
    <m/>
    <m/>
  </r>
  <r>
    <d v="2000-05-25T00:00:00"/>
    <s v="Trap 2.5"/>
    <m/>
    <x v="0"/>
    <s v="Reference"/>
    <x v="2"/>
    <x v="0"/>
    <n v="4"/>
    <m/>
    <m/>
    <m/>
    <m/>
    <m/>
    <m/>
    <m/>
    <m/>
    <m/>
    <m/>
    <m/>
    <m/>
    <m/>
    <m/>
    <m/>
    <m/>
    <m/>
    <m/>
    <m/>
    <m/>
    <m/>
    <m/>
    <m/>
    <m/>
    <m/>
    <m/>
    <m/>
    <n v="4"/>
    <n v="1"/>
    <m/>
    <m/>
    <m/>
  </r>
  <r>
    <d v="2000-05-25T00:00:00"/>
    <s v="Trap 3"/>
    <m/>
    <x v="1"/>
    <s v="Restricted"/>
    <x v="2"/>
    <x v="0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</r>
  <r>
    <d v="2000-05-26T00:00:00"/>
    <s v="Trap 2.5"/>
    <m/>
    <x v="0"/>
    <s v="Reference"/>
    <x v="2"/>
    <x v="0"/>
    <n v="66"/>
    <m/>
    <m/>
    <m/>
    <m/>
    <m/>
    <m/>
    <m/>
    <m/>
    <m/>
    <m/>
    <m/>
    <m/>
    <m/>
    <m/>
    <m/>
    <m/>
    <m/>
    <m/>
    <m/>
    <m/>
    <m/>
    <m/>
    <m/>
    <m/>
    <m/>
    <m/>
    <m/>
    <n v="66"/>
    <n v="1"/>
    <n v="2.7"/>
    <m/>
    <m/>
  </r>
  <r>
    <d v="2000-05-26T00:00:00"/>
    <s v="Trap 3"/>
    <m/>
    <x v="1"/>
    <s v="Restricted"/>
    <x v="2"/>
    <x v="0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</r>
  <r>
    <d v="2000-09-18T00:00:00"/>
    <s v="Boomerang"/>
    <m/>
    <x v="2"/>
    <s v="Pannes Cleared"/>
    <x v="2"/>
    <x v="1"/>
    <n v="15"/>
    <m/>
    <m/>
    <m/>
    <m/>
    <m/>
    <m/>
    <m/>
    <m/>
    <m/>
    <m/>
    <m/>
    <m/>
    <m/>
    <m/>
    <m/>
    <m/>
    <m/>
    <m/>
    <m/>
    <m/>
    <m/>
    <m/>
    <m/>
    <m/>
    <m/>
    <m/>
    <m/>
    <n v="15"/>
    <n v="1"/>
    <n v="1.19"/>
    <m/>
    <m/>
  </r>
  <r>
    <d v="2000-09-18T00:00:00"/>
    <s v="Doughnut Hole"/>
    <m/>
    <x v="2"/>
    <s v="Pannes Cleared"/>
    <x v="2"/>
    <x v="1"/>
    <n v="264"/>
    <m/>
    <m/>
    <m/>
    <m/>
    <m/>
    <m/>
    <m/>
    <m/>
    <m/>
    <m/>
    <m/>
    <m/>
    <m/>
    <m/>
    <m/>
    <m/>
    <m/>
    <m/>
    <m/>
    <m/>
    <m/>
    <m/>
    <m/>
    <m/>
    <m/>
    <m/>
    <m/>
    <n v="264"/>
    <n v="1"/>
    <n v="4.45"/>
    <m/>
    <m/>
  </r>
  <r>
    <d v="2000-09-18T00:00:00"/>
    <s v="Trap 1"/>
    <m/>
    <x v="0"/>
    <s v="Reference"/>
    <x v="2"/>
    <x v="1"/>
    <n v="22"/>
    <m/>
    <m/>
    <m/>
    <m/>
    <m/>
    <m/>
    <m/>
    <m/>
    <m/>
    <m/>
    <m/>
    <m/>
    <m/>
    <m/>
    <m/>
    <m/>
    <n v="2"/>
    <m/>
    <m/>
    <m/>
    <m/>
    <m/>
    <m/>
    <m/>
    <m/>
    <m/>
    <m/>
    <n v="24"/>
    <n v="2"/>
    <n v="1.2"/>
    <m/>
    <m/>
  </r>
  <r>
    <d v="2000-09-18T00:00:00"/>
    <s v="Trap 2"/>
    <m/>
    <x v="0"/>
    <s v="Reference"/>
    <x v="2"/>
    <x v="1"/>
    <n v="3"/>
    <m/>
    <m/>
    <m/>
    <m/>
    <m/>
    <m/>
    <m/>
    <m/>
    <m/>
    <m/>
    <m/>
    <m/>
    <m/>
    <m/>
    <m/>
    <m/>
    <n v="1"/>
    <m/>
    <m/>
    <m/>
    <m/>
    <m/>
    <m/>
    <m/>
    <m/>
    <m/>
    <m/>
    <n v="4"/>
    <n v="2"/>
    <n v="1.67"/>
    <m/>
    <m/>
  </r>
  <r>
    <d v="2000-09-18T00:00:00"/>
    <s v="Trap 2.5"/>
    <m/>
    <x v="0"/>
    <s v="Reference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</r>
  <r>
    <d v="2000-09-18T00:00:00"/>
    <s v="Trap 3"/>
    <m/>
    <x v="1"/>
    <s v="Restricted"/>
    <x v="2"/>
    <x v="1"/>
    <n v="1"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n v="2.5"/>
    <m/>
    <m/>
  </r>
  <r>
    <d v="2000-09-19T00:00:00"/>
    <s v="Boomerang"/>
    <m/>
    <x v="2"/>
    <s v="Pannes Cleared"/>
    <x v="2"/>
    <x v="1"/>
    <n v="91"/>
    <m/>
    <m/>
    <m/>
    <m/>
    <m/>
    <m/>
    <m/>
    <m/>
    <m/>
    <m/>
    <m/>
    <m/>
    <m/>
    <m/>
    <m/>
    <m/>
    <n v="2"/>
    <m/>
    <m/>
    <m/>
    <m/>
    <m/>
    <m/>
    <m/>
    <m/>
    <m/>
    <m/>
    <n v="93"/>
    <n v="2"/>
    <n v="1.1000000000000001"/>
    <m/>
    <m/>
  </r>
  <r>
    <d v="2000-09-19T00:00:00"/>
    <s v="Doughnut Hole"/>
    <m/>
    <x v="2"/>
    <s v="Pannes Cleared"/>
    <x v="2"/>
    <x v="1"/>
    <n v="358"/>
    <m/>
    <m/>
    <m/>
    <m/>
    <m/>
    <m/>
    <m/>
    <m/>
    <m/>
    <m/>
    <m/>
    <m/>
    <m/>
    <m/>
    <m/>
    <m/>
    <n v="2"/>
    <m/>
    <m/>
    <m/>
    <m/>
    <m/>
    <m/>
    <m/>
    <m/>
    <m/>
    <m/>
    <n v="360"/>
    <n v="2"/>
    <n v="2.65"/>
    <m/>
    <m/>
  </r>
  <r>
    <d v="2000-09-19T00:00:00"/>
    <s v="Trap 1"/>
    <m/>
    <x v="0"/>
    <s v="Reference"/>
    <x v="2"/>
    <x v="1"/>
    <n v="98"/>
    <m/>
    <m/>
    <m/>
    <m/>
    <m/>
    <m/>
    <m/>
    <m/>
    <m/>
    <m/>
    <m/>
    <m/>
    <m/>
    <m/>
    <m/>
    <m/>
    <n v="8"/>
    <m/>
    <m/>
    <m/>
    <m/>
    <m/>
    <m/>
    <m/>
    <m/>
    <m/>
    <m/>
    <n v="106"/>
    <n v="2"/>
    <n v="2.6"/>
    <m/>
    <m/>
  </r>
  <r>
    <d v="2000-09-19T00:00:00"/>
    <s v="Trap 2"/>
    <m/>
    <x v="0"/>
    <s v="Reference"/>
    <x v="2"/>
    <x v="1"/>
    <n v="77"/>
    <m/>
    <m/>
    <m/>
    <m/>
    <m/>
    <m/>
    <m/>
    <m/>
    <m/>
    <m/>
    <m/>
    <m/>
    <m/>
    <m/>
    <m/>
    <m/>
    <n v="11"/>
    <m/>
    <m/>
    <m/>
    <m/>
    <m/>
    <m/>
    <m/>
    <m/>
    <m/>
    <m/>
    <n v="88"/>
    <n v="2"/>
    <n v="1.97"/>
    <m/>
    <m/>
  </r>
  <r>
    <d v="2000-09-19T00:00:00"/>
    <s v="Trap 2.5"/>
    <m/>
    <x v="0"/>
    <s v="Reference"/>
    <x v="2"/>
    <x v="1"/>
    <n v="67"/>
    <m/>
    <m/>
    <m/>
    <m/>
    <m/>
    <m/>
    <m/>
    <m/>
    <m/>
    <m/>
    <m/>
    <m/>
    <m/>
    <m/>
    <m/>
    <m/>
    <n v="22"/>
    <m/>
    <m/>
    <m/>
    <m/>
    <m/>
    <m/>
    <m/>
    <m/>
    <m/>
    <m/>
    <n v="89"/>
    <n v="2"/>
    <n v="2.8"/>
    <m/>
    <m/>
  </r>
  <r>
    <d v="2000-09-19T00:00:00"/>
    <s v="Trap 3"/>
    <m/>
    <x v="1"/>
    <s v="Restricted"/>
    <x v="2"/>
    <x v="1"/>
    <n v="2"/>
    <m/>
    <m/>
    <m/>
    <m/>
    <m/>
    <m/>
    <m/>
    <m/>
    <m/>
    <m/>
    <m/>
    <m/>
    <m/>
    <m/>
    <m/>
    <m/>
    <n v="1"/>
    <m/>
    <m/>
    <m/>
    <m/>
    <m/>
    <m/>
    <m/>
    <m/>
    <m/>
    <m/>
    <n v="3"/>
    <n v="2"/>
    <n v="2.5"/>
    <m/>
    <m/>
  </r>
  <r>
    <d v="2000-09-21T00:00:00"/>
    <s v="Boomerang"/>
    <m/>
    <x v="2"/>
    <s v="Pannes Cleared"/>
    <x v="2"/>
    <x v="1"/>
    <n v="65"/>
    <m/>
    <m/>
    <m/>
    <m/>
    <m/>
    <m/>
    <m/>
    <m/>
    <m/>
    <m/>
    <m/>
    <m/>
    <m/>
    <m/>
    <m/>
    <m/>
    <m/>
    <m/>
    <m/>
    <m/>
    <m/>
    <m/>
    <m/>
    <m/>
    <m/>
    <m/>
    <m/>
    <n v="65"/>
    <n v="1"/>
    <n v="2.29"/>
    <m/>
    <m/>
  </r>
  <r>
    <d v="2000-09-21T00:00:00"/>
    <s v="Doughnut Hole"/>
    <m/>
    <x v="2"/>
    <s v="Pannes Cleared"/>
    <x v="2"/>
    <x v="1"/>
    <n v="244"/>
    <m/>
    <m/>
    <n v="1"/>
    <m/>
    <m/>
    <m/>
    <m/>
    <m/>
    <m/>
    <m/>
    <m/>
    <m/>
    <m/>
    <m/>
    <m/>
    <m/>
    <m/>
    <m/>
    <m/>
    <m/>
    <m/>
    <m/>
    <m/>
    <m/>
    <m/>
    <m/>
    <m/>
    <n v="245"/>
    <n v="2"/>
    <n v="3.42"/>
    <m/>
    <m/>
  </r>
  <r>
    <d v="2000-09-21T00:00:00"/>
    <s v="Trap 1"/>
    <m/>
    <x v="0"/>
    <s v="Reference"/>
    <x v="2"/>
    <x v="1"/>
    <m/>
    <m/>
    <m/>
    <m/>
    <m/>
    <m/>
    <m/>
    <m/>
    <m/>
    <m/>
    <m/>
    <m/>
    <m/>
    <m/>
    <m/>
    <m/>
    <m/>
    <n v="1"/>
    <m/>
    <m/>
    <m/>
    <m/>
    <m/>
    <m/>
    <m/>
    <m/>
    <m/>
    <m/>
    <n v="1"/>
    <n v="1"/>
    <m/>
    <m/>
    <m/>
  </r>
  <r>
    <d v="2000-09-21T00:00:00"/>
    <s v="Trap 2"/>
    <m/>
    <x v="0"/>
    <s v="Reference"/>
    <x v="2"/>
    <x v="1"/>
    <n v="7"/>
    <m/>
    <m/>
    <m/>
    <m/>
    <m/>
    <m/>
    <m/>
    <m/>
    <m/>
    <m/>
    <m/>
    <m/>
    <m/>
    <m/>
    <m/>
    <m/>
    <n v="6"/>
    <n v="2"/>
    <m/>
    <m/>
    <m/>
    <m/>
    <m/>
    <m/>
    <m/>
    <m/>
    <m/>
    <n v="15"/>
    <n v="3"/>
    <n v="1.7"/>
    <m/>
    <m/>
  </r>
  <r>
    <d v="2000-09-21T00:00:00"/>
    <s v="Trap 2.5"/>
    <m/>
    <x v="0"/>
    <s v="Reference"/>
    <x v="2"/>
    <x v="1"/>
    <n v="125"/>
    <m/>
    <m/>
    <m/>
    <m/>
    <m/>
    <m/>
    <m/>
    <m/>
    <m/>
    <m/>
    <m/>
    <m/>
    <m/>
    <m/>
    <m/>
    <m/>
    <m/>
    <m/>
    <m/>
    <m/>
    <m/>
    <m/>
    <m/>
    <m/>
    <m/>
    <m/>
    <m/>
    <n v="125"/>
    <n v="1"/>
    <n v="2"/>
    <m/>
    <m/>
  </r>
  <r>
    <d v="2000-09-21T00:00:00"/>
    <s v="Trap 3"/>
    <m/>
    <x v="1"/>
    <s v="Restricted"/>
    <x v="2"/>
    <x v="1"/>
    <n v="2"/>
    <m/>
    <m/>
    <m/>
    <m/>
    <m/>
    <m/>
    <m/>
    <m/>
    <m/>
    <m/>
    <m/>
    <m/>
    <m/>
    <m/>
    <m/>
    <m/>
    <m/>
    <m/>
    <m/>
    <m/>
    <m/>
    <m/>
    <m/>
    <m/>
    <m/>
    <m/>
    <m/>
    <n v="2"/>
    <n v="1"/>
    <n v="3.5"/>
    <m/>
    <m/>
  </r>
  <r>
    <d v="2000-09-29T00:00:00"/>
    <s v="Trap 1"/>
    <m/>
    <x v="0"/>
    <s v="Reference"/>
    <x v="2"/>
    <x v="1"/>
    <n v="4"/>
    <m/>
    <m/>
    <m/>
    <m/>
    <m/>
    <m/>
    <m/>
    <m/>
    <m/>
    <m/>
    <m/>
    <m/>
    <m/>
    <m/>
    <m/>
    <m/>
    <n v="1"/>
    <m/>
    <m/>
    <m/>
    <m/>
    <m/>
    <m/>
    <m/>
    <m/>
    <m/>
    <m/>
    <n v="5"/>
    <n v="2"/>
    <n v="1.5"/>
    <m/>
    <m/>
  </r>
  <r>
    <d v="2000-09-29T00:00:00"/>
    <s v="Trap 2"/>
    <m/>
    <x v="0"/>
    <s v="Reference"/>
    <x v="2"/>
    <x v="1"/>
    <n v="2"/>
    <m/>
    <m/>
    <m/>
    <m/>
    <m/>
    <m/>
    <m/>
    <m/>
    <m/>
    <m/>
    <m/>
    <m/>
    <m/>
    <m/>
    <m/>
    <m/>
    <m/>
    <m/>
    <m/>
    <m/>
    <m/>
    <m/>
    <m/>
    <m/>
    <m/>
    <m/>
    <m/>
    <n v="2"/>
    <n v="1"/>
    <n v="2"/>
    <m/>
    <m/>
  </r>
  <r>
    <d v="2000-09-29T00:00:00"/>
    <s v="Trap 2.5"/>
    <m/>
    <x v="0"/>
    <s v="Reference"/>
    <x v="2"/>
    <x v="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</r>
  <r>
    <d v="2000-09-29T00:00:00"/>
    <s v="Trap 3"/>
    <m/>
    <x v="1"/>
    <s v="Restricted"/>
    <x v="2"/>
    <x v="1"/>
    <n v="15"/>
    <m/>
    <m/>
    <m/>
    <m/>
    <m/>
    <m/>
    <m/>
    <m/>
    <m/>
    <m/>
    <m/>
    <m/>
    <m/>
    <m/>
    <m/>
    <m/>
    <n v="3"/>
    <m/>
    <m/>
    <m/>
    <m/>
    <m/>
    <m/>
    <m/>
    <m/>
    <m/>
    <m/>
    <n v="18"/>
    <n v="2"/>
    <n v="2.66"/>
    <m/>
    <m/>
  </r>
  <r>
    <d v="2000-09-29T00:00:00"/>
    <s v="Boomerang"/>
    <m/>
    <x v="2"/>
    <s v="Pannes Cleared"/>
    <x v="2"/>
    <x v="1"/>
    <n v="293"/>
    <m/>
    <m/>
    <m/>
    <m/>
    <m/>
    <m/>
    <m/>
    <m/>
    <m/>
    <m/>
    <m/>
    <m/>
    <m/>
    <m/>
    <m/>
    <m/>
    <m/>
    <m/>
    <m/>
    <m/>
    <m/>
    <m/>
    <m/>
    <m/>
    <m/>
    <m/>
    <m/>
    <n v="293"/>
    <n v="1"/>
    <n v="2.86"/>
    <m/>
    <m/>
  </r>
  <r>
    <d v="2000-09-29T00:00:00"/>
    <s v="Doughnut Hole"/>
    <m/>
    <x v="2"/>
    <s v="Pannes Cleared"/>
    <x v="2"/>
    <x v="1"/>
    <n v="326"/>
    <m/>
    <m/>
    <m/>
    <m/>
    <m/>
    <m/>
    <m/>
    <m/>
    <m/>
    <m/>
    <m/>
    <m/>
    <m/>
    <m/>
    <m/>
    <m/>
    <n v="1"/>
    <m/>
    <m/>
    <m/>
    <m/>
    <m/>
    <m/>
    <m/>
    <m/>
    <m/>
    <m/>
    <n v="327"/>
    <n v="2"/>
    <n v="2.98"/>
    <m/>
    <m/>
  </r>
  <r>
    <d v="2001-04-02T00:00:00"/>
    <s v="Trap 2.5"/>
    <m/>
    <x v="0"/>
    <s v="Reference"/>
    <x v="3"/>
    <x v="0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</r>
  <r>
    <d v="2001-04-02T00:00:00"/>
    <s v="Trap 3"/>
    <m/>
    <x v="1"/>
    <s v="Restricted"/>
    <x v="3"/>
    <x v="0"/>
    <m/>
    <m/>
    <m/>
    <n v="1"/>
    <m/>
    <m/>
    <m/>
    <m/>
    <m/>
    <m/>
    <m/>
    <m/>
    <m/>
    <m/>
    <m/>
    <m/>
    <m/>
    <m/>
    <m/>
    <m/>
    <m/>
    <m/>
    <m/>
    <m/>
    <m/>
    <m/>
    <m/>
    <m/>
    <n v="1"/>
    <n v="1"/>
    <m/>
    <m/>
    <m/>
  </r>
  <r>
    <d v="2001-04-02T00:00:00"/>
    <s v="Boomerang"/>
    <m/>
    <x v="2"/>
    <s v="Pannes Cleared"/>
    <x v="3"/>
    <x v="0"/>
    <m/>
    <m/>
    <n v="2"/>
    <n v="3"/>
    <m/>
    <m/>
    <m/>
    <m/>
    <m/>
    <m/>
    <m/>
    <m/>
    <m/>
    <m/>
    <m/>
    <m/>
    <m/>
    <m/>
    <m/>
    <m/>
    <m/>
    <m/>
    <m/>
    <m/>
    <m/>
    <m/>
    <m/>
    <m/>
    <n v="5"/>
    <n v="2"/>
    <m/>
    <m/>
    <m/>
  </r>
  <r>
    <d v="2001-04-02T00:00:00"/>
    <s v="Doughnut Hole"/>
    <m/>
    <x v="2"/>
    <s v="Pannes Cleared"/>
    <x v="3"/>
    <x v="0"/>
    <n v="45"/>
    <m/>
    <n v="6"/>
    <m/>
    <m/>
    <m/>
    <m/>
    <m/>
    <m/>
    <m/>
    <m/>
    <m/>
    <m/>
    <m/>
    <m/>
    <m/>
    <m/>
    <m/>
    <m/>
    <m/>
    <m/>
    <m/>
    <m/>
    <m/>
    <m/>
    <m/>
    <m/>
    <m/>
    <n v="51"/>
    <n v="2"/>
    <n v="1.8888888888888888"/>
    <m/>
    <m/>
  </r>
  <r>
    <d v="2001-06-11T00:00:00"/>
    <s v="Trap 1"/>
    <m/>
    <x v="0"/>
    <s v="Reference"/>
    <x v="3"/>
    <x v="0"/>
    <n v="182"/>
    <m/>
    <m/>
    <m/>
    <m/>
    <m/>
    <m/>
    <m/>
    <m/>
    <m/>
    <m/>
    <m/>
    <m/>
    <m/>
    <m/>
    <m/>
    <m/>
    <m/>
    <m/>
    <m/>
    <m/>
    <m/>
    <m/>
    <m/>
    <m/>
    <m/>
    <m/>
    <m/>
    <n v="182"/>
    <n v="1"/>
    <n v="3.5714285714285716"/>
    <m/>
    <m/>
  </r>
  <r>
    <d v="2001-06-11T00:00:00"/>
    <s v="Trap 2"/>
    <m/>
    <x v="0"/>
    <s v="Reference"/>
    <x v="3"/>
    <x v="0"/>
    <n v="95"/>
    <m/>
    <m/>
    <m/>
    <m/>
    <m/>
    <m/>
    <m/>
    <m/>
    <m/>
    <m/>
    <m/>
    <m/>
    <m/>
    <m/>
    <m/>
    <m/>
    <n v="1"/>
    <m/>
    <m/>
    <m/>
    <n v="1"/>
    <n v="1"/>
    <m/>
    <m/>
    <m/>
    <m/>
    <m/>
    <n v="98"/>
    <n v="4"/>
    <n v="3.4210526315789473"/>
    <m/>
    <n v="2"/>
  </r>
  <r>
    <d v="2001-06-11T00:00:00"/>
    <s v="Trap 2.5"/>
    <m/>
    <x v="0"/>
    <s v="Reference"/>
    <x v="3"/>
    <x v="0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</r>
  <r>
    <d v="2001-06-11T00:00:00"/>
    <s v="Trap 3"/>
    <m/>
    <x v="1"/>
    <s v="Restricted"/>
    <x v="3"/>
    <x v="0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</r>
  <r>
    <d v="2001-06-11T00:00:00"/>
    <s v="Boomerang"/>
    <m/>
    <x v="2"/>
    <s v="Pannes Cleared"/>
    <x v="3"/>
    <x v="0"/>
    <n v="82"/>
    <m/>
    <m/>
    <m/>
    <m/>
    <m/>
    <m/>
    <m/>
    <m/>
    <m/>
    <m/>
    <m/>
    <m/>
    <m/>
    <m/>
    <m/>
    <m/>
    <m/>
    <m/>
    <m/>
    <m/>
    <m/>
    <m/>
    <m/>
    <m/>
    <m/>
    <m/>
    <m/>
    <n v="82"/>
    <n v="1"/>
    <n v="1.9512195121951219"/>
    <m/>
    <m/>
  </r>
  <r>
    <d v="2001-06-11T00:00:00"/>
    <s v="Doughnut Hole"/>
    <m/>
    <x v="2"/>
    <s v="Pannes Cleared"/>
    <x v="3"/>
    <x v="0"/>
    <s v="~1"/>
    <m/>
    <m/>
    <m/>
    <m/>
    <m/>
    <m/>
    <m/>
    <m/>
    <m/>
    <m/>
    <m/>
    <m/>
    <m/>
    <m/>
    <m/>
    <m/>
    <m/>
    <m/>
    <m/>
    <m/>
    <m/>
    <m/>
    <m/>
    <m/>
    <m/>
    <m/>
    <m/>
    <n v="100"/>
    <n v="1"/>
    <m/>
    <m/>
    <m/>
  </r>
  <r>
    <d v="2001-06-12T00:00:00"/>
    <s v="Trap 1"/>
    <m/>
    <x v="0"/>
    <s v="Reference"/>
    <x v="3"/>
    <x v="0"/>
    <n v="84"/>
    <m/>
    <m/>
    <m/>
    <m/>
    <m/>
    <m/>
    <m/>
    <m/>
    <m/>
    <m/>
    <m/>
    <m/>
    <m/>
    <m/>
    <m/>
    <m/>
    <m/>
    <m/>
    <m/>
    <m/>
    <m/>
    <m/>
    <m/>
    <m/>
    <m/>
    <m/>
    <m/>
    <n v="84"/>
    <n v="1"/>
    <n v="3.5714285714285716"/>
    <m/>
    <m/>
  </r>
  <r>
    <d v="2001-06-12T00:00:00"/>
    <s v="Trap 2"/>
    <m/>
    <x v="0"/>
    <s v="Reference"/>
    <x v="3"/>
    <x v="0"/>
    <n v="47"/>
    <m/>
    <m/>
    <m/>
    <m/>
    <m/>
    <m/>
    <m/>
    <m/>
    <m/>
    <m/>
    <m/>
    <m/>
    <m/>
    <m/>
    <m/>
    <m/>
    <m/>
    <m/>
    <m/>
    <m/>
    <m/>
    <m/>
    <n v="1"/>
    <m/>
    <m/>
    <m/>
    <m/>
    <n v="48"/>
    <n v="2"/>
    <n v="4.042553191489362"/>
    <m/>
    <m/>
  </r>
  <r>
    <d v="2001-06-12T00:00:00"/>
    <s v="Trap 2.5"/>
    <m/>
    <x v="0"/>
    <s v="Reference"/>
    <x v="3"/>
    <x v="0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</r>
  <r>
    <d v="2001-06-12T00:00:00"/>
    <s v="Trap 3"/>
    <m/>
    <x v="1"/>
    <s v="Restricted"/>
    <x v="3"/>
    <x v="0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</r>
  <r>
    <d v="2001-06-12T00:00:00"/>
    <s v="Boomerang"/>
    <m/>
    <x v="2"/>
    <s v="Pannes Cleared"/>
    <x v="3"/>
    <x v="0"/>
    <n v="137"/>
    <m/>
    <m/>
    <m/>
    <m/>
    <m/>
    <m/>
    <m/>
    <m/>
    <m/>
    <m/>
    <m/>
    <m/>
    <m/>
    <m/>
    <m/>
    <m/>
    <m/>
    <m/>
    <m/>
    <m/>
    <m/>
    <m/>
    <m/>
    <m/>
    <m/>
    <m/>
    <m/>
    <n v="137"/>
    <n v="1"/>
    <n v="1.9562043795620438"/>
    <m/>
    <m/>
  </r>
  <r>
    <d v="2001-06-12T00:00:00"/>
    <s v="Boomerang"/>
    <m/>
    <x v="2"/>
    <s v="Pannes Cleared"/>
    <x v="3"/>
    <x v="0"/>
    <n v="36"/>
    <m/>
    <n v="1"/>
    <m/>
    <m/>
    <m/>
    <m/>
    <m/>
    <m/>
    <m/>
    <m/>
    <m/>
    <m/>
    <m/>
    <m/>
    <m/>
    <m/>
    <m/>
    <m/>
    <m/>
    <m/>
    <m/>
    <m/>
    <m/>
    <m/>
    <m/>
    <m/>
    <m/>
    <n v="37"/>
    <n v="2"/>
    <n v="2.3611111111111112"/>
    <m/>
    <m/>
  </r>
  <r>
    <d v="2001-06-13T00:00:00"/>
    <s v="Trap 1"/>
    <m/>
    <x v="0"/>
    <s v="Reference"/>
    <x v="3"/>
    <x v="0"/>
    <n v="179"/>
    <m/>
    <m/>
    <m/>
    <m/>
    <m/>
    <m/>
    <m/>
    <m/>
    <m/>
    <m/>
    <m/>
    <m/>
    <m/>
    <m/>
    <m/>
    <m/>
    <m/>
    <m/>
    <m/>
    <m/>
    <m/>
    <m/>
    <m/>
    <m/>
    <m/>
    <m/>
    <m/>
    <n v="179"/>
    <n v="1"/>
    <n v="3.6312849162011172"/>
    <m/>
    <m/>
  </r>
  <r>
    <d v="2001-06-13T00:00:00"/>
    <s v="Trap 2"/>
    <m/>
    <x v="0"/>
    <s v="Reference"/>
    <x v="3"/>
    <x v="0"/>
    <n v="82"/>
    <m/>
    <m/>
    <m/>
    <m/>
    <m/>
    <m/>
    <m/>
    <m/>
    <m/>
    <m/>
    <m/>
    <m/>
    <m/>
    <m/>
    <m/>
    <m/>
    <m/>
    <m/>
    <m/>
    <m/>
    <m/>
    <m/>
    <m/>
    <m/>
    <m/>
    <m/>
    <m/>
    <n v="82"/>
    <n v="1"/>
    <n v="3.8414634146341462"/>
    <m/>
    <m/>
  </r>
  <r>
    <d v="2001-06-13T00:00:00"/>
    <s v="Trap 2.5"/>
    <m/>
    <x v="0"/>
    <s v="Reference"/>
    <x v="3"/>
    <x v="0"/>
    <n v="1"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n v="3"/>
    <m/>
    <m/>
  </r>
  <r>
    <d v="2001-06-13T00:00:00"/>
    <s v="Trap 3"/>
    <m/>
    <x v="1"/>
    <s v="Restricted"/>
    <x v="3"/>
    <x v="0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</r>
  <r>
    <d v="2001-06-13T00:00:00"/>
    <s v="Boomerang"/>
    <m/>
    <x v="2"/>
    <s v="Pannes Cleared"/>
    <x v="3"/>
    <x v="0"/>
    <n v="92"/>
    <m/>
    <m/>
    <m/>
    <m/>
    <m/>
    <m/>
    <m/>
    <m/>
    <m/>
    <m/>
    <m/>
    <m/>
    <m/>
    <m/>
    <m/>
    <m/>
    <m/>
    <m/>
    <m/>
    <m/>
    <m/>
    <m/>
    <m/>
    <m/>
    <m/>
    <m/>
    <m/>
    <n v="92"/>
    <n v="1"/>
    <n v="1.7391304347826086"/>
    <m/>
    <m/>
  </r>
  <r>
    <d v="2001-06-13T00:00:00"/>
    <s v="Boomerang"/>
    <m/>
    <x v="2"/>
    <s v="Pannes Cleared"/>
    <x v="3"/>
    <x v="0"/>
    <n v="3"/>
    <m/>
    <m/>
    <m/>
    <m/>
    <m/>
    <m/>
    <m/>
    <m/>
    <m/>
    <m/>
    <m/>
    <m/>
    <m/>
    <m/>
    <m/>
    <m/>
    <m/>
    <m/>
    <m/>
    <m/>
    <m/>
    <m/>
    <m/>
    <m/>
    <m/>
    <m/>
    <m/>
    <n v="3"/>
    <n v="1"/>
    <n v="2.7666666666666671"/>
    <m/>
    <m/>
  </r>
  <r>
    <d v="2001-06-14T00:00:00"/>
    <s v="Trap 1"/>
    <m/>
    <x v="0"/>
    <s v="Reference"/>
    <x v="3"/>
    <x v="0"/>
    <n v="123"/>
    <m/>
    <m/>
    <m/>
    <m/>
    <m/>
    <m/>
    <m/>
    <m/>
    <m/>
    <m/>
    <m/>
    <m/>
    <m/>
    <m/>
    <m/>
    <m/>
    <m/>
    <m/>
    <m/>
    <m/>
    <m/>
    <n v="4"/>
    <m/>
    <m/>
    <m/>
    <m/>
    <m/>
    <n v="127"/>
    <n v="2"/>
    <n v="5.8943089430894311"/>
    <m/>
    <m/>
  </r>
  <r>
    <d v="2001-06-14T00:00:00"/>
    <s v="Trap 2"/>
    <m/>
    <x v="0"/>
    <s v="Reference"/>
    <x v="3"/>
    <x v="0"/>
    <n v="59"/>
    <m/>
    <m/>
    <m/>
    <m/>
    <m/>
    <m/>
    <m/>
    <m/>
    <m/>
    <m/>
    <m/>
    <m/>
    <m/>
    <m/>
    <m/>
    <m/>
    <m/>
    <m/>
    <m/>
    <m/>
    <m/>
    <n v="1"/>
    <m/>
    <m/>
    <m/>
    <m/>
    <m/>
    <n v="60"/>
    <n v="2"/>
    <n v="3.1355932203389831"/>
    <m/>
    <m/>
  </r>
  <r>
    <d v="2001-06-14T00:00:00"/>
    <s v="Trap 2.5"/>
    <m/>
    <x v="0"/>
    <s v="Reference"/>
    <x v="3"/>
    <x v="0"/>
    <n v="1"/>
    <m/>
    <m/>
    <m/>
    <m/>
    <m/>
    <m/>
    <m/>
    <m/>
    <m/>
    <m/>
    <m/>
    <m/>
    <m/>
    <m/>
    <m/>
    <m/>
    <m/>
    <m/>
    <m/>
    <m/>
    <m/>
    <n v="3"/>
    <m/>
    <m/>
    <m/>
    <m/>
    <m/>
    <n v="4"/>
    <n v="2"/>
    <n v="3"/>
    <m/>
    <m/>
  </r>
  <r>
    <d v="2001-06-14T00:00:00"/>
    <s v="Trap 3"/>
    <m/>
    <x v="1"/>
    <s v="Restricted"/>
    <x v="3"/>
    <x v="0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</r>
  <r>
    <d v="2001-06-14T00:00:00"/>
    <s v="Boomerang"/>
    <m/>
    <x v="2"/>
    <s v="Pannes Cleared"/>
    <x v="3"/>
    <x v="0"/>
    <n v="32"/>
    <m/>
    <m/>
    <m/>
    <m/>
    <m/>
    <m/>
    <m/>
    <m/>
    <m/>
    <m/>
    <m/>
    <m/>
    <m/>
    <m/>
    <m/>
    <m/>
    <m/>
    <m/>
    <m/>
    <m/>
    <m/>
    <n v="2"/>
    <m/>
    <m/>
    <m/>
    <m/>
    <m/>
    <n v="34"/>
    <n v="2"/>
    <n v="2.71875"/>
    <m/>
    <m/>
  </r>
  <r>
    <d v="2001-06-14T00:00:00"/>
    <s v="Boomerang"/>
    <m/>
    <x v="2"/>
    <s v="Pannes Cleared"/>
    <x v="3"/>
    <x v="0"/>
    <n v="42"/>
    <m/>
    <m/>
    <m/>
    <m/>
    <m/>
    <m/>
    <m/>
    <m/>
    <m/>
    <m/>
    <m/>
    <m/>
    <m/>
    <m/>
    <m/>
    <m/>
    <m/>
    <m/>
    <m/>
    <m/>
    <m/>
    <n v="2"/>
    <m/>
    <m/>
    <m/>
    <m/>
    <m/>
    <n v="44"/>
    <n v="2"/>
    <n v="3.0952380952380953"/>
    <m/>
    <m/>
  </r>
  <r>
    <d v="2001-09-27T00:00:00"/>
    <s v="Trap 3"/>
    <n v="22.17"/>
    <x v="1"/>
    <s v="Restricted"/>
    <x v="3"/>
    <x v="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</r>
  <r>
    <d v="2001-09-27T00:00:00"/>
    <s v="Trap 1"/>
    <n v="22.17"/>
    <x v="0"/>
    <s v="Reference"/>
    <x v="3"/>
    <x v="1"/>
    <n v="225"/>
    <m/>
    <m/>
    <m/>
    <m/>
    <m/>
    <m/>
    <m/>
    <m/>
    <m/>
    <m/>
    <m/>
    <m/>
    <m/>
    <m/>
    <m/>
    <m/>
    <n v="6"/>
    <m/>
    <m/>
    <m/>
    <m/>
    <m/>
    <m/>
    <m/>
    <m/>
    <m/>
    <m/>
    <n v="231"/>
    <n v="2"/>
    <n v="2.088888888888889"/>
    <m/>
    <n v="3.3333333333333335"/>
  </r>
  <r>
    <d v="2001-09-27T00:00:00"/>
    <s v="Doughnut Hole"/>
    <n v="18.5"/>
    <x v="2"/>
    <s v="Pannes Cleared"/>
    <x v="3"/>
    <x v="1"/>
    <n v="7"/>
    <m/>
    <m/>
    <m/>
    <m/>
    <m/>
    <m/>
    <m/>
    <m/>
    <m/>
    <m/>
    <m/>
    <m/>
    <m/>
    <m/>
    <m/>
    <m/>
    <n v="1"/>
    <m/>
    <m/>
    <m/>
    <m/>
    <m/>
    <m/>
    <m/>
    <m/>
    <m/>
    <m/>
    <n v="8"/>
    <n v="2"/>
    <n v="1.4285714285714286"/>
    <m/>
    <n v="6"/>
  </r>
  <r>
    <d v="2001-09-27T00:00:00"/>
    <s v="Boomerang"/>
    <n v="18.5"/>
    <x v="2"/>
    <s v="Pannes Cleared"/>
    <x v="3"/>
    <x v="1"/>
    <m/>
    <m/>
    <m/>
    <m/>
    <m/>
    <m/>
    <m/>
    <m/>
    <m/>
    <m/>
    <m/>
    <m/>
    <m/>
    <m/>
    <m/>
    <m/>
    <m/>
    <n v="2"/>
    <m/>
    <m/>
    <m/>
    <m/>
    <m/>
    <m/>
    <m/>
    <m/>
    <m/>
    <m/>
    <n v="2"/>
    <n v="1"/>
    <m/>
    <m/>
    <n v="1.4"/>
  </r>
  <r>
    <d v="2001-09-28T00:00:00"/>
    <s v="2.5 AM"/>
    <n v="24"/>
    <x v="0"/>
    <s v="Reference"/>
    <x v="3"/>
    <x v="1"/>
    <n v="1"/>
    <m/>
    <m/>
    <m/>
    <m/>
    <m/>
    <m/>
    <m/>
    <m/>
    <m/>
    <m/>
    <m/>
    <m/>
    <m/>
    <m/>
    <m/>
    <m/>
    <n v="1"/>
    <m/>
    <m/>
    <m/>
    <m/>
    <m/>
    <m/>
    <m/>
    <m/>
    <m/>
    <m/>
    <n v="2"/>
    <n v="2"/>
    <n v="2"/>
    <m/>
    <n v="2"/>
  </r>
  <r>
    <d v="2001-09-28T00:00:00"/>
    <s v="2.5 PM"/>
    <n v="4.12"/>
    <x v="0"/>
    <s v="Reference"/>
    <x v="3"/>
    <x v="1"/>
    <n v="9"/>
    <m/>
    <m/>
    <m/>
    <m/>
    <m/>
    <m/>
    <m/>
    <m/>
    <m/>
    <m/>
    <m/>
    <m/>
    <m/>
    <m/>
    <m/>
    <m/>
    <m/>
    <m/>
    <m/>
    <m/>
    <m/>
    <m/>
    <m/>
    <m/>
    <m/>
    <m/>
    <m/>
    <n v="9"/>
    <n v="1"/>
    <n v="1.1111111111111112"/>
    <m/>
    <m/>
  </r>
  <r>
    <d v="2001-09-28T00:00:00"/>
    <s v="Trap 3"/>
    <n v="24"/>
    <x v="1"/>
    <s v="Restricted"/>
    <x v="3"/>
    <x v="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</r>
  <r>
    <d v="2001-09-28T00:00:00"/>
    <s v="Doughnut Hole"/>
    <n v="24.33"/>
    <x v="2"/>
    <s v="Pannes Cleared"/>
    <x v="3"/>
    <x v="1"/>
    <n v="3"/>
    <m/>
    <m/>
    <m/>
    <m/>
    <m/>
    <m/>
    <m/>
    <m/>
    <m/>
    <m/>
    <m/>
    <m/>
    <m/>
    <m/>
    <m/>
    <m/>
    <m/>
    <m/>
    <m/>
    <m/>
    <m/>
    <m/>
    <m/>
    <m/>
    <m/>
    <m/>
    <m/>
    <n v="3"/>
    <n v="1"/>
    <n v="1.3333333333333333"/>
    <m/>
    <m/>
  </r>
  <r>
    <d v="2001-09-28T00:00:00"/>
    <s v="Boomerang"/>
    <n v="24.5"/>
    <x v="2"/>
    <s v="Pannes Cleared"/>
    <x v="3"/>
    <x v="1"/>
    <m/>
    <m/>
    <m/>
    <m/>
    <m/>
    <m/>
    <m/>
    <m/>
    <m/>
    <m/>
    <m/>
    <m/>
    <m/>
    <m/>
    <m/>
    <m/>
    <m/>
    <n v="2"/>
    <m/>
    <m/>
    <m/>
    <m/>
    <m/>
    <m/>
    <m/>
    <m/>
    <m/>
    <m/>
    <n v="2"/>
    <n v="1"/>
    <m/>
    <m/>
    <n v="3.5"/>
  </r>
  <r>
    <d v="2001-10-03T00:00:00"/>
    <s v="Trap 1"/>
    <n v="17.170000000000002"/>
    <x v="0"/>
    <s v="Reference"/>
    <x v="3"/>
    <x v="1"/>
    <n v="12"/>
    <m/>
    <m/>
    <m/>
    <m/>
    <m/>
    <m/>
    <m/>
    <m/>
    <m/>
    <m/>
    <m/>
    <m/>
    <m/>
    <m/>
    <m/>
    <m/>
    <n v="1"/>
    <m/>
    <m/>
    <m/>
    <m/>
    <m/>
    <m/>
    <m/>
    <m/>
    <m/>
    <m/>
    <n v="13"/>
    <n v="2"/>
    <n v="1.6666666666666667"/>
    <m/>
    <n v="2.5"/>
  </r>
  <r>
    <d v="2001-10-03T00:00:00"/>
    <s v="Trap 2"/>
    <n v="17.170000000000002"/>
    <x v="0"/>
    <s v="Reference"/>
    <x v="3"/>
    <x v="1"/>
    <n v="45"/>
    <m/>
    <m/>
    <m/>
    <m/>
    <m/>
    <m/>
    <m/>
    <m/>
    <m/>
    <m/>
    <m/>
    <m/>
    <m/>
    <m/>
    <m/>
    <m/>
    <n v="12"/>
    <m/>
    <m/>
    <m/>
    <m/>
    <m/>
    <m/>
    <m/>
    <m/>
    <m/>
    <m/>
    <n v="57"/>
    <n v="2"/>
    <n v="1.6888888888888889"/>
    <m/>
    <m/>
  </r>
  <r>
    <d v="2001-10-03T00:00:00"/>
    <s v="Trap 2.5"/>
    <n v="17.170000000000002"/>
    <x v="0"/>
    <s v="Reference"/>
    <x v="3"/>
    <x v="1"/>
    <n v="58"/>
    <m/>
    <m/>
    <m/>
    <m/>
    <m/>
    <m/>
    <m/>
    <m/>
    <m/>
    <m/>
    <m/>
    <n v="1"/>
    <m/>
    <m/>
    <m/>
    <m/>
    <n v="2"/>
    <m/>
    <m/>
    <m/>
    <m/>
    <m/>
    <m/>
    <n v="1"/>
    <m/>
    <m/>
    <m/>
    <n v="62"/>
    <n v="4"/>
    <n v="1.1206896551724137"/>
    <m/>
    <m/>
  </r>
  <r>
    <d v="2001-10-03T00:00:00"/>
    <s v="Trap 3"/>
    <n v="17.170000000000002"/>
    <x v="1"/>
    <s v="Restricted"/>
    <x v="3"/>
    <x v="1"/>
    <n v="2"/>
    <m/>
    <m/>
    <m/>
    <m/>
    <m/>
    <m/>
    <m/>
    <m/>
    <m/>
    <m/>
    <m/>
    <m/>
    <m/>
    <m/>
    <m/>
    <m/>
    <n v="4"/>
    <m/>
    <m/>
    <m/>
    <m/>
    <m/>
    <m/>
    <m/>
    <m/>
    <m/>
    <m/>
    <n v="6"/>
    <n v="2"/>
    <n v="1"/>
    <m/>
    <n v="3.5"/>
  </r>
  <r>
    <d v="2001-10-03T00:00:00"/>
    <s v="Doughnut Hole"/>
    <n v="17.5"/>
    <x v="2"/>
    <s v="Pannes Cleared"/>
    <x v="3"/>
    <x v="1"/>
    <n v="617"/>
    <m/>
    <m/>
    <m/>
    <m/>
    <m/>
    <m/>
    <m/>
    <m/>
    <m/>
    <n v="1"/>
    <m/>
    <m/>
    <m/>
    <m/>
    <m/>
    <m/>
    <m/>
    <m/>
    <m/>
    <m/>
    <m/>
    <m/>
    <m/>
    <m/>
    <m/>
    <m/>
    <m/>
    <n v="618"/>
    <n v="2"/>
    <n v="2.0178282009724473"/>
    <m/>
    <m/>
  </r>
  <r>
    <d v="2001-10-03T00:00:00"/>
    <s v="Boomerang"/>
    <n v="17.5"/>
    <x v="2"/>
    <s v="Pannes Cleared"/>
    <x v="3"/>
    <x v="1"/>
    <n v="39"/>
    <m/>
    <m/>
    <m/>
    <m/>
    <m/>
    <m/>
    <m/>
    <m/>
    <m/>
    <n v="1"/>
    <m/>
    <m/>
    <m/>
    <m/>
    <m/>
    <m/>
    <m/>
    <m/>
    <m/>
    <m/>
    <m/>
    <m/>
    <m/>
    <m/>
    <m/>
    <m/>
    <m/>
    <n v="40"/>
    <n v="2"/>
    <n v="1.5954692556634305"/>
    <m/>
    <n v="5"/>
  </r>
  <r>
    <d v="2001-10-02T00:00:00"/>
    <s v="Trap 1"/>
    <n v="17"/>
    <x v="0"/>
    <s v="Reference"/>
    <x v="3"/>
    <x v="1"/>
    <n v="2"/>
    <m/>
    <m/>
    <m/>
    <m/>
    <m/>
    <m/>
    <m/>
    <m/>
    <m/>
    <m/>
    <m/>
    <m/>
    <m/>
    <m/>
    <m/>
    <m/>
    <m/>
    <m/>
    <m/>
    <m/>
    <m/>
    <m/>
    <m/>
    <m/>
    <m/>
    <m/>
    <m/>
    <n v="2"/>
    <n v="1"/>
    <n v="1.75"/>
    <m/>
    <m/>
  </r>
  <r>
    <d v="2001-10-02T00:00:00"/>
    <s v="Trap 2"/>
    <n v="17"/>
    <x v="0"/>
    <s v="Reference"/>
    <x v="3"/>
    <x v="1"/>
    <n v="41"/>
    <m/>
    <m/>
    <m/>
    <m/>
    <m/>
    <m/>
    <m/>
    <m/>
    <m/>
    <n v="1"/>
    <m/>
    <m/>
    <m/>
    <n v="1"/>
    <m/>
    <m/>
    <n v="1"/>
    <m/>
    <m/>
    <m/>
    <m/>
    <m/>
    <m/>
    <m/>
    <m/>
    <m/>
    <m/>
    <n v="44"/>
    <n v="4"/>
    <n v="2.4634146341463414"/>
    <m/>
    <m/>
  </r>
  <r>
    <d v="2001-10-02T00:00:00"/>
    <s v="Trap 2.5"/>
    <n v="17"/>
    <x v="0"/>
    <s v="Reference"/>
    <x v="3"/>
    <x v="1"/>
    <n v="15"/>
    <m/>
    <m/>
    <m/>
    <m/>
    <m/>
    <m/>
    <m/>
    <m/>
    <m/>
    <n v="1"/>
    <n v="1"/>
    <m/>
    <m/>
    <n v="1"/>
    <m/>
    <m/>
    <n v="2"/>
    <m/>
    <m/>
    <m/>
    <m/>
    <m/>
    <m/>
    <m/>
    <m/>
    <m/>
    <m/>
    <n v="20"/>
    <n v="5"/>
    <n v="1.6666666666666667"/>
    <m/>
    <m/>
  </r>
  <r>
    <d v="2001-10-02T00:00:00"/>
    <s v="Trap 3"/>
    <n v="17"/>
    <x v="1"/>
    <s v="Restricted"/>
    <x v="3"/>
    <x v="1"/>
    <m/>
    <m/>
    <m/>
    <m/>
    <m/>
    <m/>
    <m/>
    <m/>
    <m/>
    <m/>
    <m/>
    <m/>
    <m/>
    <m/>
    <m/>
    <m/>
    <m/>
    <n v="2"/>
    <m/>
    <m/>
    <m/>
    <m/>
    <m/>
    <m/>
    <m/>
    <m/>
    <m/>
    <m/>
    <n v="2"/>
    <n v="1"/>
    <m/>
    <m/>
    <n v="2"/>
  </r>
  <r>
    <d v="2001-10-02T00:00:00"/>
    <s v="Doughnut Hole"/>
    <n v="17"/>
    <x v="2"/>
    <s v="Pannes Cleared"/>
    <x v="3"/>
    <x v="1"/>
    <n v="96"/>
    <m/>
    <m/>
    <m/>
    <m/>
    <m/>
    <m/>
    <m/>
    <m/>
    <m/>
    <m/>
    <m/>
    <m/>
    <m/>
    <m/>
    <m/>
    <m/>
    <n v="1"/>
    <m/>
    <m/>
    <m/>
    <m/>
    <m/>
    <m/>
    <m/>
    <m/>
    <m/>
    <m/>
    <n v="97"/>
    <n v="2"/>
    <n v="7"/>
    <m/>
    <m/>
  </r>
  <r>
    <d v="2001-10-02T00:00:00"/>
    <s v="Boomerang"/>
    <n v="17"/>
    <x v="2"/>
    <s v="Pannes Cleared"/>
    <x v="3"/>
    <x v="1"/>
    <n v="611"/>
    <m/>
    <m/>
    <m/>
    <m/>
    <m/>
    <m/>
    <m/>
    <m/>
    <m/>
    <m/>
    <m/>
    <m/>
    <m/>
    <m/>
    <m/>
    <m/>
    <n v="1"/>
    <m/>
    <m/>
    <m/>
    <m/>
    <m/>
    <m/>
    <m/>
    <m/>
    <m/>
    <m/>
    <n v="612"/>
    <n v="2"/>
    <n v="0.93289689034369883"/>
    <m/>
    <m/>
  </r>
  <r>
    <d v="2002-04-04T00:00:00"/>
    <s v="Jelly Bean"/>
    <n v="1.5"/>
    <x v="2"/>
    <s v="Pannes Cleared"/>
    <x v="4"/>
    <x v="0"/>
    <n v="9"/>
    <m/>
    <m/>
    <m/>
    <m/>
    <m/>
    <m/>
    <m/>
    <m/>
    <m/>
    <m/>
    <m/>
    <m/>
    <m/>
    <m/>
    <m/>
    <m/>
    <m/>
    <m/>
    <m/>
    <m/>
    <m/>
    <m/>
    <m/>
    <m/>
    <m/>
    <m/>
    <m/>
    <n v="9"/>
    <n v="1"/>
    <n v="1.6666666666666667"/>
    <m/>
    <m/>
  </r>
  <r>
    <d v="2002-04-04T00:00:00"/>
    <s v="Trap 3"/>
    <n v="4"/>
    <x v="1"/>
    <s v="Restricted"/>
    <x v="4"/>
    <x v="0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</r>
  <r>
    <d v="2002-04-04T00:00:00"/>
    <s v="Boomerang"/>
    <n v="1.5"/>
    <x v="2"/>
    <s v="Pannes Cleared"/>
    <x v="4"/>
    <x v="0"/>
    <n v="55"/>
    <m/>
    <n v="44"/>
    <m/>
    <m/>
    <m/>
    <m/>
    <m/>
    <m/>
    <m/>
    <m/>
    <m/>
    <m/>
    <m/>
    <m/>
    <m/>
    <m/>
    <m/>
    <m/>
    <m/>
    <m/>
    <m/>
    <m/>
    <m/>
    <m/>
    <m/>
    <m/>
    <m/>
    <n v="99"/>
    <n v="2"/>
    <n v="3.9090909090909092"/>
    <m/>
    <m/>
  </r>
  <r>
    <d v="2002-04-04T00:00:00"/>
    <s v="Boomerang"/>
    <n v="1.5"/>
    <x v="2"/>
    <s v="Pannes Cleared"/>
    <x v="4"/>
    <x v="0"/>
    <n v="64"/>
    <m/>
    <n v="1"/>
    <m/>
    <m/>
    <m/>
    <m/>
    <m/>
    <m/>
    <m/>
    <m/>
    <m/>
    <m/>
    <m/>
    <m/>
    <m/>
    <m/>
    <m/>
    <m/>
    <m/>
    <m/>
    <m/>
    <m/>
    <m/>
    <m/>
    <m/>
    <m/>
    <m/>
    <n v="65"/>
    <n v="2"/>
    <n v="2.890625"/>
    <m/>
    <m/>
  </r>
  <r>
    <d v="2002-04-04T00:00:00"/>
    <s v="Doughnut Hole"/>
    <n v="1.5"/>
    <x v="2"/>
    <s v="Pannes Cleared"/>
    <x v="4"/>
    <x v="0"/>
    <n v="122"/>
    <m/>
    <n v="29"/>
    <m/>
    <m/>
    <m/>
    <m/>
    <m/>
    <m/>
    <m/>
    <m/>
    <m/>
    <m/>
    <m/>
    <m/>
    <m/>
    <m/>
    <m/>
    <m/>
    <m/>
    <m/>
    <m/>
    <m/>
    <m/>
    <m/>
    <m/>
    <m/>
    <m/>
    <n v="151"/>
    <n v="2"/>
    <n v="3.278688524590164"/>
    <m/>
    <m/>
  </r>
  <r>
    <d v="2002-09-09T00:00:00"/>
    <s v="Trap 2.5"/>
    <n v="15.5"/>
    <x v="0"/>
    <s v="Reference"/>
    <x v="4"/>
    <x v="1"/>
    <n v="1"/>
    <m/>
    <m/>
    <m/>
    <m/>
    <m/>
    <m/>
    <m/>
    <m/>
    <m/>
    <m/>
    <m/>
    <m/>
    <m/>
    <m/>
    <m/>
    <m/>
    <n v="1"/>
    <m/>
    <m/>
    <m/>
    <m/>
    <m/>
    <m/>
    <m/>
    <m/>
    <m/>
    <m/>
    <n v="2"/>
    <n v="2"/>
    <n v="1"/>
    <m/>
    <n v="1"/>
  </r>
  <r>
    <d v="2002-09-09T00:00:00"/>
    <s v="Trap 3"/>
    <n v="15.5"/>
    <x v="1"/>
    <s v="Restricted"/>
    <x v="4"/>
    <x v="1"/>
    <n v="3"/>
    <m/>
    <m/>
    <m/>
    <m/>
    <m/>
    <m/>
    <m/>
    <m/>
    <m/>
    <m/>
    <m/>
    <m/>
    <m/>
    <m/>
    <m/>
    <m/>
    <n v="2"/>
    <m/>
    <m/>
    <m/>
    <m/>
    <m/>
    <m/>
    <m/>
    <m/>
    <m/>
    <m/>
    <n v="5"/>
    <n v="2"/>
    <n v="3.3"/>
    <m/>
    <n v="5"/>
  </r>
  <r>
    <d v="2002-09-09T00:00:00"/>
    <s v="Doughnut Hole"/>
    <n v="15.5"/>
    <x v="2"/>
    <s v="Pannes Cleared"/>
    <x v="4"/>
    <x v="1"/>
    <n v="324"/>
    <m/>
    <m/>
    <m/>
    <m/>
    <m/>
    <m/>
    <m/>
    <m/>
    <m/>
    <m/>
    <m/>
    <m/>
    <m/>
    <m/>
    <m/>
    <m/>
    <n v="2"/>
    <m/>
    <m/>
    <m/>
    <m/>
    <m/>
    <m/>
    <m/>
    <m/>
    <m/>
    <m/>
    <n v="326"/>
    <n v="2"/>
    <n v="3.04"/>
    <m/>
    <n v="2.5"/>
  </r>
  <r>
    <d v="2002-09-09T00:00:00"/>
    <s v="Boomerang"/>
    <n v="15.5"/>
    <x v="2"/>
    <s v="Pannes Cleared"/>
    <x v="4"/>
    <x v="1"/>
    <n v="441"/>
    <m/>
    <m/>
    <m/>
    <m/>
    <m/>
    <m/>
    <m/>
    <m/>
    <m/>
    <m/>
    <m/>
    <m/>
    <m/>
    <m/>
    <m/>
    <m/>
    <n v="5"/>
    <m/>
    <m/>
    <m/>
    <m/>
    <m/>
    <m/>
    <m/>
    <m/>
    <m/>
    <m/>
    <n v="446"/>
    <n v="2"/>
    <n v="2.58"/>
    <m/>
    <n v="2.6"/>
  </r>
  <r>
    <d v="2002-09-10T00:00:00"/>
    <s v="Trap 3 "/>
    <n v="23.75"/>
    <x v="1"/>
    <s v="Restricted"/>
    <x v="4"/>
    <x v="1"/>
    <n v="3"/>
    <m/>
    <m/>
    <m/>
    <m/>
    <m/>
    <m/>
    <m/>
    <m/>
    <m/>
    <m/>
    <m/>
    <m/>
    <m/>
    <m/>
    <m/>
    <m/>
    <n v="2"/>
    <m/>
    <m/>
    <m/>
    <m/>
    <m/>
    <m/>
    <m/>
    <m/>
    <m/>
    <m/>
    <n v="5"/>
    <n v="2"/>
    <n v="1.7"/>
    <m/>
    <n v="2"/>
  </r>
  <r>
    <d v="2002-09-10T00:00:00"/>
    <s v="Trap 2.5"/>
    <n v="23.75"/>
    <x v="0"/>
    <s v="Reference"/>
    <x v="4"/>
    <x v="1"/>
    <n v="97"/>
    <m/>
    <m/>
    <m/>
    <m/>
    <m/>
    <m/>
    <m/>
    <m/>
    <m/>
    <m/>
    <m/>
    <m/>
    <m/>
    <m/>
    <m/>
    <m/>
    <n v="6"/>
    <m/>
    <m/>
    <m/>
    <m/>
    <m/>
    <m/>
    <m/>
    <m/>
    <m/>
    <m/>
    <n v="103"/>
    <n v="2"/>
    <n v="1.9"/>
    <m/>
    <n v="2.5"/>
  </r>
  <r>
    <d v="2002-09-10T00:00:00"/>
    <s v="Boomerang"/>
    <n v="23.75"/>
    <x v="2"/>
    <s v="Pannes Cleared"/>
    <x v="4"/>
    <x v="1"/>
    <n v="32"/>
    <m/>
    <m/>
    <m/>
    <m/>
    <m/>
    <m/>
    <m/>
    <m/>
    <m/>
    <m/>
    <m/>
    <m/>
    <m/>
    <m/>
    <m/>
    <m/>
    <n v="3"/>
    <m/>
    <m/>
    <m/>
    <m/>
    <m/>
    <m/>
    <m/>
    <m/>
    <m/>
    <m/>
    <n v="35"/>
    <n v="2"/>
    <n v="2.4"/>
    <m/>
    <n v="13.3"/>
  </r>
  <r>
    <d v="2002-09-10T00:00:00"/>
    <s v="Doughnut Hole"/>
    <n v="23.75"/>
    <x v="2"/>
    <s v="Pannes Cleared"/>
    <x v="4"/>
    <x v="1"/>
    <n v="252"/>
    <m/>
    <m/>
    <m/>
    <m/>
    <m/>
    <m/>
    <m/>
    <m/>
    <m/>
    <m/>
    <m/>
    <m/>
    <m/>
    <m/>
    <m/>
    <m/>
    <n v="3"/>
    <m/>
    <m/>
    <m/>
    <m/>
    <m/>
    <m/>
    <m/>
    <m/>
    <m/>
    <m/>
    <n v="255"/>
    <n v="2"/>
    <n v="3.65"/>
    <m/>
    <n v="2"/>
  </r>
  <r>
    <d v="2002-09-11T00:00:00"/>
    <s v="Trap 3"/>
    <n v="24"/>
    <x v="1"/>
    <s v="Restricted"/>
    <x v="4"/>
    <x v="1"/>
    <n v="11"/>
    <m/>
    <m/>
    <m/>
    <m/>
    <m/>
    <m/>
    <m/>
    <m/>
    <m/>
    <m/>
    <m/>
    <m/>
    <m/>
    <m/>
    <m/>
    <m/>
    <n v="2"/>
    <m/>
    <m/>
    <m/>
    <m/>
    <m/>
    <m/>
    <m/>
    <m/>
    <m/>
    <n v="1"/>
    <n v="14"/>
    <n v="3"/>
    <n v="0.9"/>
    <m/>
    <n v="1"/>
  </r>
  <r>
    <d v="2002-09-11T00:00:00"/>
    <s v="Trap 2.5"/>
    <n v="24"/>
    <x v="0"/>
    <s v="Reference"/>
    <x v="4"/>
    <x v="1"/>
    <n v="77"/>
    <m/>
    <m/>
    <m/>
    <m/>
    <m/>
    <m/>
    <m/>
    <m/>
    <m/>
    <m/>
    <m/>
    <m/>
    <m/>
    <m/>
    <m/>
    <m/>
    <n v="12"/>
    <m/>
    <m/>
    <m/>
    <m/>
    <m/>
    <m/>
    <m/>
    <m/>
    <m/>
    <m/>
    <n v="89"/>
    <n v="2"/>
    <n v="1.4"/>
    <m/>
    <n v="16.670000000000002"/>
  </r>
  <r>
    <d v="2002-09-11T00:00:00"/>
    <s v="Boomerang"/>
    <n v="24"/>
    <x v="2"/>
    <s v="Pannes Cleared"/>
    <x v="4"/>
    <x v="1"/>
    <n v="26"/>
    <m/>
    <m/>
    <m/>
    <m/>
    <m/>
    <m/>
    <m/>
    <m/>
    <m/>
    <m/>
    <m/>
    <m/>
    <m/>
    <m/>
    <m/>
    <m/>
    <n v="9"/>
    <m/>
    <m/>
    <m/>
    <m/>
    <m/>
    <m/>
    <m/>
    <m/>
    <m/>
    <m/>
    <n v="35"/>
    <n v="2"/>
    <n v="2.4"/>
    <m/>
    <m/>
  </r>
  <r>
    <d v="2002-09-11T00:00:00"/>
    <s v="Doughnut Hole"/>
    <n v="24"/>
    <x v="2"/>
    <s v="Pannes Cleared"/>
    <x v="4"/>
    <x v="1"/>
    <n v="16"/>
    <m/>
    <m/>
    <m/>
    <m/>
    <m/>
    <m/>
    <m/>
    <m/>
    <m/>
    <m/>
    <m/>
    <m/>
    <m/>
    <m/>
    <m/>
    <m/>
    <n v="6"/>
    <m/>
    <m/>
    <m/>
    <m/>
    <m/>
    <m/>
    <m/>
    <m/>
    <m/>
    <m/>
    <n v="22"/>
    <n v="2"/>
    <n v="3.63"/>
    <m/>
    <n v="5"/>
  </r>
  <r>
    <d v="2002-09-12T00:00:00"/>
    <s v="Doughnut Hole"/>
    <n v="23.75"/>
    <x v="2"/>
    <s v="Pannes Cleared"/>
    <x v="4"/>
    <x v="1"/>
    <n v="25"/>
    <m/>
    <m/>
    <m/>
    <m/>
    <m/>
    <m/>
    <m/>
    <m/>
    <m/>
    <m/>
    <m/>
    <m/>
    <m/>
    <m/>
    <m/>
    <m/>
    <n v="15"/>
    <m/>
    <m/>
    <m/>
    <m/>
    <m/>
    <m/>
    <m/>
    <m/>
    <m/>
    <m/>
    <n v="40"/>
    <n v="2"/>
    <n v="3.94"/>
    <m/>
    <n v="4.3"/>
  </r>
  <r>
    <d v="2002-09-12T00:00:00"/>
    <s v="Trap 2.5"/>
    <n v="23.75"/>
    <x v="0"/>
    <s v="Reference"/>
    <x v="4"/>
    <x v="1"/>
    <n v="122"/>
    <m/>
    <m/>
    <m/>
    <m/>
    <m/>
    <m/>
    <m/>
    <m/>
    <m/>
    <m/>
    <n v="1"/>
    <m/>
    <m/>
    <m/>
    <m/>
    <m/>
    <n v="18"/>
    <m/>
    <m/>
    <m/>
    <m/>
    <m/>
    <m/>
    <m/>
    <m/>
    <m/>
    <m/>
    <n v="141"/>
    <n v="3"/>
    <n v="2.17"/>
    <n v="15"/>
    <n v="4.4000000000000004"/>
  </r>
  <r>
    <d v="2002-09-12T00:00:00"/>
    <s v="Trap 3"/>
    <n v="23.75"/>
    <x v="1"/>
    <s v="Restricted"/>
    <x v="4"/>
    <x v="1"/>
    <n v="3"/>
    <m/>
    <m/>
    <m/>
    <m/>
    <m/>
    <m/>
    <m/>
    <m/>
    <m/>
    <m/>
    <m/>
    <m/>
    <m/>
    <m/>
    <m/>
    <m/>
    <n v="8"/>
    <m/>
    <m/>
    <m/>
    <m/>
    <m/>
    <m/>
    <m/>
    <m/>
    <m/>
    <m/>
    <n v="11"/>
    <n v="2"/>
    <n v="1.6"/>
    <m/>
    <n v="4.4000000000000004"/>
  </r>
  <r>
    <d v="2002-09-12T00:00:00"/>
    <s v="Boomerang"/>
    <n v="23.75"/>
    <x v="2"/>
    <s v="Pannes Cleared"/>
    <x v="4"/>
    <x v="1"/>
    <n v="127"/>
    <m/>
    <m/>
    <m/>
    <m/>
    <m/>
    <m/>
    <m/>
    <m/>
    <m/>
    <m/>
    <m/>
    <m/>
    <m/>
    <m/>
    <m/>
    <m/>
    <n v="17"/>
    <m/>
    <m/>
    <m/>
    <m/>
    <m/>
    <m/>
    <m/>
    <m/>
    <m/>
    <m/>
    <n v="144"/>
    <n v="2"/>
    <n v="3.46"/>
    <m/>
    <n v="3.53"/>
  </r>
  <r>
    <d v="2002-09-24T00:00:00"/>
    <s v="Trap 2.5"/>
    <n v="15.5"/>
    <x v="0"/>
    <s v="Reference"/>
    <x v="4"/>
    <x v="1"/>
    <n v="17"/>
    <m/>
    <m/>
    <m/>
    <m/>
    <m/>
    <m/>
    <m/>
    <m/>
    <m/>
    <m/>
    <m/>
    <m/>
    <m/>
    <m/>
    <m/>
    <m/>
    <n v="5"/>
    <m/>
    <m/>
    <m/>
    <m/>
    <m/>
    <m/>
    <m/>
    <m/>
    <m/>
    <m/>
    <n v="22"/>
    <n v="2"/>
    <m/>
    <m/>
    <m/>
  </r>
  <r>
    <d v="2002-09-24T00:00:00"/>
    <s v="Trap 3"/>
    <n v="15.5"/>
    <x v="1"/>
    <s v="Restricted"/>
    <x v="4"/>
    <x v="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</r>
  <r>
    <d v="2002-09-26T00:00:00"/>
    <s v="Trap 2.5"/>
    <m/>
    <x v="0"/>
    <s v="Reference"/>
    <x v="4"/>
    <x v="1"/>
    <n v="17"/>
    <m/>
    <m/>
    <m/>
    <m/>
    <m/>
    <m/>
    <m/>
    <m/>
    <m/>
    <m/>
    <m/>
    <m/>
    <m/>
    <m/>
    <m/>
    <m/>
    <n v="5"/>
    <m/>
    <m/>
    <m/>
    <m/>
    <m/>
    <m/>
    <m/>
    <m/>
    <m/>
    <m/>
    <n v="22"/>
    <n v="2"/>
    <n v="3.8"/>
    <m/>
    <n v="4"/>
  </r>
  <r>
    <d v="2002-09-26T00:00:00"/>
    <s v="Doughnut Hole"/>
    <m/>
    <x v="2"/>
    <s v="Pannes Cleared"/>
    <x v="4"/>
    <x v="1"/>
    <n v="252"/>
    <m/>
    <m/>
    <m/>
    <m/>
    <m/>
    <m/>
    <m/>
    <m/>
    <m/>
    <m/>
    <m/>
    <m/>
    <m/>
    <m/>
    <m/>
    <m/>
    <n v="1"/>
    <m/>
    <m/>
    <m/>
    <m/>
    <m/>
    <m/>
    <m/>
    <m/>
    <m/>
    <m/>
    <n v="253"/>
    <n v="2"/>
    <n v="1.8"/>
    <m/>
    <n v="7"/>
  </r>
  <r>
    <d v="2002-10-15T00:00:00"/>
    <s v="Boomerang"/>
    <n v="4.5"/>
    <x v="2"/>
    <s v="Pannes Cleared"/>
    <x v="4"/>
    <x v="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</r>
  <r>
    <d v="2002-10-15T00:00:00"/>
    <s v="Doughnut Hole"/>
    <n v="4.5"/>
    <x v="2"/>
    <s v="Pannes Cleared"/>
    <x v="4"/>
    <x v="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</r>
  <r>
    <d v="2003-06-02T00:00:00"/>
    <s v="Boomerang"/>
    <n v="18.5"/>
    <x v="2"/>
    <s v="Pannes Cleared"/>
    <x v="5"/>
    <x v="0"/>
    <n v="106"/>
    <m/>
    <m/>
    <m/>
    <m/>
    <m/>
    <m/>
    <m/>
    <m/>
    <m/>
    <m/>
    <m/>
    <m/>
    <m/>
    <m/>
    <m/>
    <m/>
    <m/>
    <m/>
    <m/>
    <m/>
    <m/>
    <m/>
    <m/>
    <m/>
    <m/>
    <m/>
    <m/>
    <n v="106"/>
    <n v="0"/>
    <n v="4"/>
    <m/>
    <m/>
  </r>
  <r>
    <d v="2003-06-02T00:00:00"/>
    <s v="Doughnut Hole"/>
    <n v="18.5"/>
    <x v="2"/>
    <s v="Pannes Cleared"/>
    <x v="5"/>
    <x v="0"/>
    <n v="72"/>
    <m/>
    <m/>
    <m/>
    <m/>
    <m/>
    <m/>
    <m/>
    <m/>
    <m/>
    <m/>
    <m/>
    <n v="1"/>
    <m/>
    <m/>
    <m/>
    <m/>
    <m/>
    <m/>
    <m/>
    <m/>
    <m/>
    <m/>
    <m/>
    <m/>
    <m/>
    <m/>
    <m/>
    <n v="73"/>
    <n v="2"/>
    <n v="4"/>
    <m/>
    <m/>
  </r>
  <r>
    <d v="2003-06-03T00:00:00"/>
    <s v="Trap 2.5"/>
    <n v="24"/>
    <x v="0"/>
    <s v="Reference"/>
    <x v="5"/>
    <x v="0"/>
    <n v="0"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</r>
  <r>
    <d v="2003-06-03T00:00:00"/>
    <s v="Trap 3"/>
    <n v="24"/>
    <x v="1"/>
    <s v="Restricted"/>
    <x v="5"/>
    <x v="0"/>
    <n v="0"/>
    <m/>
    <m/>
    <m/>
    <m/>
    <m/>
    <m/>
    <m/>
    <m/>
    <m/>
    <m/>
    <m/>
    <m/>
    <m/>
    <m/>
    <m/>
    <m/>
    <m/>
    <m/>
    <m/>
    <m/>
    <m/>
    <n v="7"/>
    <m/>
    <m/>
    <m/>
    <m/>
    <m/>
    <n v="7"/>
    <n v="1"/>
    <m/>
    <m/>
    <m/>
  </r>
  <r>
    <d v="2003-06-03T00:00:00"/>
    <s v="Boomerang"/>
    <n v="24"/>
    <x v="2"/>
    <s v="Pannes Cleared"/>
    <x v="5"/>
    <x v="0"/>
    <n v="111"/>
    <m/>
    <m/>
    <m/>
    <m/>
    <m/>
    <m/>
    <m/>
    <m/>
    <m/>
    <m/>
    <m/>
    <m/>
    <m/>
    <m/>
    <m/>
    <m/>
    <m/>
    <m/>
    <m/>
    <m/>
    <m/>
    <m/>
    <m/>
    <m/>
    <m/>
    <m/>
    <m/>
    <n v="111"/>
    <n v="1"/>
    <n v="3.15"/>
    <m/>
    <m/>
  </r>
  <r>
    <d v="2003-06-03T00:00:00"/>
    <s v="Doughnut Hole"/>
    <n v="24"/>
    <x v="2"/>
    <s v="Pannes Cleared"/>
    <x v="5"/>
    <x v="0"/>
    <n v="92"/>
    <m/>
    <m/>
    <m/>
    <m/>
    <m/>
    <m/>
    <m/>
    <m/>
    <m/>
    <m/>
    <m/>
    <m/>
    <m/>
    <m/>
    <m/>
    <m/>
    <m/>
    <m/>
    <m/>
    <m/>
    <m/>
    <m/>
    <m/>
    <m/>
    <m/>
    <m/>
    <m/>
    <n v="92"/>
    <n v="1"/>
    <n v="3.09"/>
    <m/>
    <m/>
  </r>
  <r>
    <d v="2010-06-05T00:00:00"/>
    <s v="Trap 2.5"/>
    <n v="16"/>
    <x v="0"/>
    <s v="Reference"/>
    <x v="5"/>
    <x v="0"/>
    <m/>
    <m/>
    <m/>
    <m/>
    <m/>
    <m/>
    <m/>
    <m/>
    <m/>
    <m/>
    <m/>
    <n v="1"/>
    <m/>
    <m/>
    <m/>
    <m/>
    <m/>
    <m/>
    <m/>
    <m/>
    <m/>
    <m/>
    <m/>
    <m/>
    <m/>
    <m/>
    <m/>
    <m/>
    <n v="1"/>
    <n v="1"/>
    <m/>
    <m/>
    <m/>
  </r>
  <r>
    <d v="2010-06-05T00:00:00"/>
    <s v="Trap 3"/>
    <n v="16"/>
    <x v="1"/>
    <s v="Restricted"/>
    <x v="5"/>
    <x v="0"/>
    <m/>
    <m/>
    <m/>
    <m/>
    <m/>
    <m/>
    <m/>
    <m/>
    <m/>
    <m/>
    <m/>
    <m/>
    <m/>
    <m/>
    <m/>
    <m/>
    <n v="2"/>
    <m/>
    <m/>
    <m/>
    <m/>
    <m/>
    <m/>
    <m/>
    <m/>
    <m/>
    <m/>
    <m/>
    <n v="2"/>
    <n v="1"/>
    <m/>
    <m/>
    <m/>
  </r>
  <r>
    <d v="2010-06-05T00:00:00"/>
    <s v="Boomerang"/>
    <n v="16"/>
    <x v="2"/>
    <s v="Pannes Cleared"/>
    <x v="5"/>
    <x v="0"/>
    <n v="90"/>
    <m/>
    <n v="1"/>
    <m/>
    <m/>
    <m/>
    <m/>
    <m/>
    <m/>
    <m/>
    <m/>
    <m/>
    <m/>
    <m/>
    <m/>
    <m/>
    <m/>
    <m/>
    <m/>
    <m/>
    <m/>
    <m/>
    <m/>
    <m/>
    <m/>
    <m/>
    <m/>
    <m/>
    <n v="91"/>
    <n v="2"/>
    <n v="3"/>
    <m/>
    <m/>
  </r>
  <r>
    <d v="2010-06-05T00:00:00"/>
    <s v="Doughnut Hole"/>
    <n v="16"/>
    <x v="2"/>
    <s v="Pannes Cleared"/>
    <x v="5"/>
    <x v="0"/>
    <n v="43"/>
    <m/>
    <m/>
    <m/>
    <m/>
    <m/>
    <m/>
    <m/>
    <m/>
    <m/>
    <m/>
    <m/>
    <n v="1"/>
    <m/>
    <m/>
    <m/>
    <m/>
    <m/>
    <m/>
    <m/>
    <m/>
    <m/>
    <m/>
    <m/>
    <m/>
    <m/>
    <m/>
    <m/>
    <n v="44"/>
    <n v="2"/>
    <n v="3"/>
    <m/>
    <m/>
  </r>
  <r>
    <d v="2003-06-06T00:00:00"/>
    <s v="Trap 2.5"/>
    <n v="24"/>
    <x v="0"/>
    <s v="Reference"/>
    <x v="5"/>
    <x v="0"/>
    <m/>
    <m/>
    <m/>
    <m/>
    <m/>
    <m/>
    <m/>
    <m/>
    <m/>
    <m/>
    <m/>
    <m/>
    <m/>
    <m/>
    <m/>
    <m/>
    <n v="2"/>
    <m/>
    <m/>
    <m/>
    <m/>
    <m/>
    <n v="14"/>
    <m/>
    <m/>
    <m/>
    <m/>
    <m/>
    <n v="16"/>
    <n v="2"/>
    <m/>
    <m/>
    <m/>
  </r>
  <r>
    <d v="2003-06-06T00:00:00"/>
    <s v="Trap 3"/>
    <n v="24"/>
    <x v="1"/>
    <s v="Restricted"/>
    <x v="5"/>
    <x v="0"/>
    <m/>
    <m/>
    <m/>
    <m/>
    <m/>
    <m/>
    <m/>
    <m/>
    <m/>
    <m/>
    <m/>
    <n v="2"/>
    <m/>
    <m/>
    <m/>
    <m/>
    <m/>
    <m/>
    <m/>
    <m/>
    <m/>
    <m/>
    <m/>
    <m/>
    <m/>
    <m/>
    <m/>
    <m/>
    <n v="2"/>
    <n v="1"/>
    <m/>
    <m/>
    <m/>
  </r>
  <r>
    <d v="2003-06-06T00:00:00"/>
    <s v="Boomerang"/>
    <n v="24"/>
    <x v="2"/>
    <s v="Pannes Cleared"/>
    <x v="5"/>
    <x v="0"/>
    <n v="101"/>
    <m/>
    <m/>
    <m/>
    <m/>
    <m/>
    <m/>
    <m/>
    <m/>
    <m/>
    <m/>
    <m/>
    <m/>
    <m/>
    <m/>
    <m/>
    <m/>
    <m/>
    <m/>
    <m/>
    <m/>
    <m/>
    <m/>
    <m/>
    <m/>
    <m/>
    <m/>
    <m/>
    <n v="101"/>
    <n v="1"/>
    <n v="2.7"/>
    <m/>
    <m/>
  </r>
  <r>
    <d v="2003-06-06T00:00:00"/>
    <s v="Doughnut Hole"/>
    <n v="24"/>
    <x v="2"/>
    <s v="Pannes Cleared"/>
    <x v="5"/>
    <x v="0"/>
    <n v="42"/>
    <m/>
    <m/>
    <m/>
    <m/>
    <m/>
    <m/>
    <m/>
    <m/>
    <m/>
    <m/>
    <m/>
    <m/>
    <m/>
    <m/>
    <m/>
    <m/>
    <m/>
    <m/>
    <m/>
    <m/>
    <m/>
    <m/>
    <m/>
    <m/>
    <m/>
    <m/>
    <m/>
    <n v="42"/>
    <n v="1"/>
    <n v="3.6"/>
    <m/>
    <m/>
  </r>
  <r>
    <d v="2003-09-29T00:00:00"/>
    <s v="Trap 2.5"/>
    <n v="23.5"/>
    <x v="0"/>
    <s v="Reference"/>
    <x v="5"/>
    <x v="1"/>
    <n v="86"/>
    <n v="1"/>
    <m/>
    <m/>
    <m/>
    <m/>
    <m/>
    <m/>
    <m/>
    <m/>
    <m/>
    <m/>
    <m/>
    <m/>
    <m/>
    <m/>
    <m/>
    <m/>
    <m/>
    <m/>
    <m/>
    <m/>
    <m/>
    <m/>
    <m/>
    <m/>
    <m/>
    <m/>
    <n v="87"/>
    <n v="2"/>
    <m/>
    <m/>
    <m/>
  </r>
  <r>
    <d v="2003-09-29T00:00:00"/>
    <s v="Trap 3"/>
    <n v="23.5"/>
    <x v="1"/>
    <s v="Restricted"/>
    <x v="5"/>
    <x v="1"/>
    <n v="134"/>
    <m/>
    <m/>
    <m/>
    <m/>
    <m/>
    <m/>
    <m/>
    <m/>
    <m/>
    <m/>
    <m/>
    <m/>
    <n v="1"/>
    <m/>
    <m/>
    <m/>
    <m/>
    <m/>
    <m/>
    <m/>
    <m/>
    <m/>
    <m/>
    <m/>
    <m/>
    <m/>
    <m/>
    <n v="135"/>
    <n v="2"/>
    <m/>
    <m/>
    <m/>
  </r>
  <r>
    <d v="2003-09-29T00:00:00"/>
    <s v="Boomerang"/>
    <n v="23.5"/>
    <x v="2"/>
    <s v="Pannes Cleared"/>
    <x v="5"/>
    <x v="1"/>
    <n v="219"/>
    <m/>
    <m/>
    <m/>
    <m/>
    <m/>
    <m/>
    <m/>
    <m/>
    <m/>
    <m/>
    <m/>
    <m/>
    <m/>
    <m/>
    <m/>
    <m/>
    <m/>
    <m/>
    <m/>
    <m/>
    <m/>
    <m/>
    <m/>
    <m/>
    <m/>
    <m/>
    <m/>
    <n v="219"/>
    <n v="1"/>
    <m/>
    <m/>
    <m/>
  </r>
  <r>
    <d v="2003-09-29T00:00:00"/>
    <s v="Doughnut Hole"/>
    <n v="23.5"/>
    <x v="2"/>
    <s v="Pannes Cleared"/>
    <x v="5"/>
    <x v="1"/>
    <n v="2"/>
    <m/>
    <m/>
    <m/>
    <m/>
    <m/>
    <m/>
    <m/>
    <m/>
    <m/>
    <m/>
    <m/>
    <m/>
    <m/>
    <m/>
    <m/>
    <m/>
    <m/>
    <m/>
    <m/>
    <m/>
    <m/>
    <m/>
    <m/>
    <m/>
    <m/>
    <m/>
    <m/>
    <n v="2"/>
    <n v="1"/>
    <m/>
    <m/>
    <m/>
  </r>
  <r>
    <d v="2003-09-30T00:00:00"/>
    <s v="Trap 2.5"/>
    <n v="23.5"/>
    <x v="0"/>
    <s v="Reference"/>
    <x v="5"/>
    <x v="1"/>
    <n v="86"/>
    <m/>
    <m/>
    <m/>
    <m/>
    <m/>
    <m/>
    <m/>
    <m/>
    <m/>
    <m/>
    <n v="3"/>
    <m/>
    <m/>
    <m/>
    <m/>
    <m/>
    <n v="1"/>
    <m/>
    <m/>
    <m/>
    <m/>
    <m/>
    <m/>
    <m/>
    <m/>
    <m/>
    <m/>
    <n v="90"/>
    <n v="3"/>
    <n v="2.0299999999999998"/>
    <n v="16.600000000000001"/>
    <m/>
  </r>
  <r>
    <d v="2003-09-30T00:00:00"/>
    <s v="Trap 3"/>
    <n v="23.5"/>
    <x v="1"/>
    <s v="Restricted"/>
    <x v="5"/>
    <x v="1"/>
    <n v="127"/>
    <m/>
    <m/>
    <m/>
    <m/>
    <m/>
    <m/>
    <m/>
    <m/>
    <m/>
    <m/>
    <m/>
    <m/>
    <m/>
    <m/>
    <m/>
    <m/>
    <n v="1"/>
    <m/>
    <m/>
    <m/>
    <m/>
    <m/>
    <m/>
    <m/>
    <m/>
    <m/>
    <m/>
    <n v="128"/>
    <n v="2"/>
    <n v="1.8"/>
    <m/>
    <m/>
  </r>
  <r>
    <d v="2003-09-30T00:00:00"/>
    <s v="Boomerang"/>
    <n v="23.5"/>
    <x v="2"/>
    <s v="Pannes Cleared"/>
    <x v="5"/>
    <x v="1"/>
    <n v="284"/>
    <m/>
    <m/>
    <m/>
    <m/>
    <m/>
    <m/>
    <m/>
    <m/>
    <m/>
    <m/>
    <m/>
    <m/>
    <m/>
    <m/>
    <m/>
    <m/>
    <m/>
    <m/>
    <m/>
    <m/>
    <m/>
    <m/>
    <m/>
    <m/>
    <m/>
    <m/>
    <m/>
    <n v="284"/>
    <n v="1"/>
    <n v="3.2"/>
    <m/>
    <m/>
  </r>
  <r>
    <d v="2003-09-30T00:00:00"/>
    <s v="Doughnut Hole"/>
    <n v="23.5"/>
    <x v="2"/>
    <s v="Pannes Cleared"/>
    <x v="5"/>
    <x v="1"/>
    <n v="211"/>
    <m/>
    <m/>
    <m/>
    <m/>
    <m/>
    <m/>
    <m/>
    <m/>
    <m/>
    <m/>
    <m/>
    <m/>
    <m/>
    <m/>
    <m/>
    <m/>
    <m/>
    <m/>
    <m/>
    <m/>
    <m/>
    <m/>
    <m/>
    <m/>
    <m/>
    <m/>
    <m/>
    <n v="211"/>
    <n v="1"/>
    <n v="3.43"/>
    <m/>
    <m/>
  </r>
  <r>
    <d v="2003-10-01T00:00:00"/>
    <s v="Trap 2.5"/>
    <n v="24.5"/>
    <x v="0"/>
    <s v="Reference"/>
    <x v="5"/>
    <x v="1"/>
    <n v="9"/>
    <m/>
    <m/>
    <m/>
    <m/>
    <m/>
    <m/>
    <m/>
    <m/>
    <m/>
    <m/>
    <m/>
    <m/>
    <m/>
    <m/>
    <m/>
    <m/>
    <n v="1"/>
    <m/>
    <m/>
    <m/>
    <m/>
    <m/>
    <m/>
    <m/>
    <m/>
    <m/>
    <m/>
    <n v="10"/>
    <n v="2"/>
    <n v="2.1"/>
    <m/>
    <n v="5"/>
  </r>
  <r>
    <d v="2003-10-01T00:00:00"/>
    <s v="Trap 3"/>
    <n v="24.5"/>
    <x v="1"/>
    <s v="Restricted"/>
    <x v="5"/>
    <x v="1"/>
    <n v="114"/>
    <m/>
    <m/>
    <m/>
    <m/>
    <m/>
    <m/>
    <m/>
    <m/>
    <m/>
    <m/>
    <n v="1"/>
    <m/>
    <m/>
    <m/>
    <m/>
    <m/>
    <m/>
    <m/>
    <m/>
    <m/>
    <m/>
    <m/>
    <m/>
    <m/>
    <m/>
    <m/>
    <m/>
    <n v="115"/>
    <n v="2"/>
    <n v="1.6"/>
    <n v="5"/>
    <m/>
  </r>
  <r>
    <d v="2003-10-01T00:00:00"/>
    <s v="Boomerang"/>
    <n v="24.5"/>
    <x v="2"/>
    <s v="Pannes Cleared"/>
    <x v="5"/>
    <x v="1"/>
    <n v="29"/>
    <m/>
    <m/>
    <m/>
    <m/>
    <m/>
    <m/>
    <m/>
    <m/>
    <m/>
    <m/>
    <m/>
    <m/>
    <m/>
    <m/>
    <m/>
    <m/>
    <m/>
    <m/>
    <m/>
    <m/>
    <m/>
    <m/>
    <m/>
    <m/>
    <m/>
    <m/>
    <m/>
    <n v="29"/>
    <n v="1"/>
    <n v="1.9"/>
    <m/>
    <m/>
  </r>
  <r>
    <d v="2003-10-02T00:00:00"/>
    <s v="Trap 2.5"/>
    <n v="23"/>
    <x v="0"/>
    <s v="Reference"/>
    <x v="5"/>
    <x v="1"/>
    <n v="19"/>
    <m/>
    <m/>
    <m/>
    <m/>
    <m/>
    <m/>
    <m/>
    <m/>
    <m/>
    <m/>
    <m/>
    <m/>
    <m/>
    <m/>
    <m/>
    <m/>
    <m/>
    <m/>
    <m/>
    <m/>
    <m/>
    <m/>
    <m/>
    <m/>
    <m/>
    <m/>
    <m/>
    <n v="19"/>
    <n v="1"/>
    <n v="1.6"/>
    <m/>
    <m/>
  </r>
  <r>
    <d v="2003-10-02T00:00:00"/>
    <s v="Trap 3"/>
    <n v="23"/>
    <x v="1"/>
    <s v="Restricted"/>
    <x v="5"/>
    <x v="1"/>
    <n v="65"/>
    <m/>
    <m/>
    <m/>
    <m/>
    <m/>
    <m/>
    <m/>
    <m/>
    <m/>
    <m/>
    <m/>
    <m/>
    <m/>
    <m/>
    <m/>
    <m/>
    <m/>
    <m/>
    <m/>
    <m/>
    <m/>
    <m/>
    <m/>
    <m/>
    <m/>
    <m/>
    <m/>
    <n v="65"/>
    <n v="1"/>
    <n v="1.6"/>
    <m/>
    <m/>
  </r>
  <r>
    <d v="2003-10-02T00:00:00"/>
    <s v="Boomerang"/>
    <n v="23"/>
    <x v="2"/>
    <s v="Pannes Cleared"/>
    <x v="5"/>
    <x v="1"/>
    <n v="266"/>
    <m/>
    <m/>
    <m/>
    <m/>
    <m/>
    <m/>
    <m/>
    <m/>
    <m/>
    <m/>
    <m/>
    <m/>
    <m/>
    <m/>
    <m/>
    <m/>
    <m/>
    <m/>
    <m/>
    <m/>
    <m/>
    <m/>
    <m/>
    <m/>
    <m/>
    <m/>
    <m/>
    <n v="266"/>
    <n v="1"/>
    <n v="1.9"/>
    <m/>
    <m/>
  </r>
  <r>
    <d v="2003-10-02T00:00:00"/>
    <s v="Doughnut Hole"/>
    <n v="23"/>
    <x v="2"/>
    <s v="Pannes Cleared"/>
    <x v="5"/>
    <x v="1"/>
    <n v="243"/>
    <m/>
    <m/>
    <m/>
    <m/>
    <m/>
    <m/>
    <m/>
    <m/>
    <m/>
    <m/>
    <m/>
    <m/>
    <m/>
    <m/>
    <m/>
    <m/>
    <m/>
    <m/>
    <m/>
    <m/>
    <m/>
    <m/>
    <m/>
    <m/>
    <m/>
    <m/>
    <m/>
    <n v="243"/>
    <n v="1"/>
    <n v="2.2999999999999998"/>
    <m/>
    <m/>
  </r>
  <r>
    <d v="2003-10-16T00:00:00"/>
    <s v="Trap 2.5"/>
    <n v="20.5"/>
    <x v="0"/>
    <s v="Reference"/>
    <x v="5"/>
    <x v="1"/>
    <n v="15"/>
    <m/>
    <m/>
    <m/>
    <m/>
    <m/>
    <m/>
    <m/>
    <m/>
    <m/>
    <m/>
    <m/>
    <m/>
    <m/>
    <m/>
    <m/>
    <m/>
    <m/>
    <m/>
    <m/>
    <m/>
    <m/>
    <m/>
    <m/>
    <m/>
    <m/>
    <m/>
    <m/>
    <n v="15"/>
    <n v="1"/>
    <n v="1.3"/>
    <m/>
    <m/>
  </r>
  <r>
    <d v="2003-10-16T00:00:00"/>
    <s v="Trap 3"/>
    <n v="20.5"/>
    <x v="1"/>
    <s v="Restricted"/>
    <x v="5"/>
    <x v="1"/>
    <n v="4"/>
    <m/>
    <m/>
    <m/>
    <m/>
    <m/>
    <m/>
    <m/>
    <m/>
    <m/>
    <m/>
    <m/>
    <m/>
    <m/>
    <m/>
    <m/>
    <m/>
    <m/>
    <m/>
    <m/>
    <m/>
    <m/>
    <m/>
    <m/>
    <m/>
    <m/>
    <m/>
    <m/>
    <n v="4"/>
    <n v="1"/>
    <n v="1.3"/>
    <m/>
    <m/>
  </r>
  <r>
    <d v="2003-10-16T00:00:00"/>
    <s v="Boomerang"/>
    <n v="20.5"/>
    <x v="2"/>
    <s v="Pannes Cleared"/>
    <x v="5"/>
    <x v="1"/>
    <n v="225"/>
    <m/>
    <m/>
    <m/>
    <m/>
    <m/>
    <m/>
    <m/>
    <m/>
    <m/>
    <m/>
    <m/>
    <m/>
    <m/>
    <m/>
    <m/>
    <m/>
    <m/>
    <m/>
    <m/>
    <m/>
    <m/>
    <m/>
    <m/>
    <m/>
    <m/>
    <m/>
    <m/>
    <n v="225"/>
    <n v="1"/>
    <n v="1.2"/>
    <m/>
    <m/>
  </r>
  <r>
    <d v="2003-10-16T00:00:00"/>
    <s v="Doughnut Hole"/>
    <n v="20.5"/>
    <x v="2"/>
    <s v="Pannes Cleared"/>
    <x v="5"/>
    <x v="1"/>
    <n v="168"/>
    <m/>
    <m/>
    <m/>
    <m/>
    <m/>
    <m/>
    <m/>
    <m/>
    <m/>
    <m/>
    <m/>
    <m/>
    <m/>
    <m/>
    <m/>
    <m/>
    <m/>
    <m/>
    <m/>
    <m/>
    <m/>
    <m/>
    <m/>
    <m/>
    <m/>
    <m/>
    <m/>
    <n v="168"/>
    <n v="1"/>
    <n v="1.4"/>
    <m/>
    <m/>
  </r>
  <r>
    <d v="2003-10-17T00:00:00"/>
    <s v="Trap 2.5"/>
    <n v="24"/>
    <x v="0"/>
    <s v="Reference"/>
    <x v="5"/>
    <x v="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1"/>
    <m/>
    <m/>
    <m/>
  </r>
  <r>
    <d v="2003-10-17T00:00:00"/>
    <s v="Trap 3"/>
    <n v="24"/>
    <x v="1"/>
    <s v="Restricted"/>
    <x v="5"/>
    <x v="1"/>
    <n v="4"/>
    <m/>
    <m/>
    <m/>
    <m/>
    <m/>
    <m/>
    <m/>
    <m/>
    <m/>
    <m/>
    <m/>
    <m/>
    <m/>
    <m/>
    <m/>
    <m/>
    <m/>
    <m/>
    <m/>
    <m/>
    <m/>
    <m/>
    <m/>
    <m/>
    <m/>
    <m/>
    <m/>
    <n v="4"/>
    <n v="1"/>
    <n v="3.1"/>
    <m/>
    <m/>
  </r>
  <r>
    <d v="2003-10-17T00:00:00"/>
    <s v="Boomerang"/>
    <n v="24"/>
    <x v="2"/>
    <s v="Pannes Cleared"/>
    <x v="5"/>
    <x v="1"/>
    <n v="112"/>
    <m/>
    <m/>
    <m/>
    <m/>
    <m/>
    <m/>
    <m/>
    <m/>
    <m/>
    <m/>
    <m/>
    <m/>
    <m/>
    <m/>
    <m/>
    <m/>
    <m/>
    <m/>
    <m/>
    <m/>
    <m/>
    <m/>
    <m/>
    <m/>
    <m/>
    <m/>
    <m/>
    <n v="112"/>
    <n v="1"/>
    <n v="1.3"/>
    <m/>
    <m/>
  </r>
  <r>
    <d v="2003-10-17T00:00:00"/>
    <s v="Doughnut Hole"/>
    <n v="24"/>
    <x v="2"/>
    <s v="Pannes Cleared"/>
    <x v="5"/>
    <x v="1"/>
    <n v="134"/>
    <m/>
    <m/>
    <m/>
    <m/>
    <m/>
    <m/>
    <m/>
    <m/>
    <m/>
    <m/>
    <m/>
    <m/>
    <m/>
    <m/>
    <m/>
    <m/>
    <m/>
    <m/>
    <m/>
    <m/>
    <m/>
    <m/>
    <m/>
    <m/>
    <m/>
    <m/>
    <m/>
    <n v="134"/>
    <n v="1"/>
    <n v="1.5"/>
    <m/>
    <m/>
  </r>
  <r>
    <d v="2003-10-30T00:00:00"/>
    <s v="Trap 2.5"/>
    <n v="15"/>
    <x v="0"/>
    <s v="Reference"/>
    <x v="5"/>
    <x v="1"/>
    <n v="112"/>
    <m/>
    <m/>
    <m/>
    <m/>
    <m/>
    <m/>
    <m/>
    <m/>
    <m/>
    <m/>
    <m/>
    <m/>
    <m/>
    <m/>
    <m/>
    <m/>
    <m/>
    <m/>
    <m/>
    <m/>
    <m/>
    <m/>
    <m/>
    <m/>
    <m/>
    <m/>
    <m/>
    <n v="112"/>
    <n v="1"/>
    <n v="2.5"/>
    <m/>
    <m/>
  </r>
  <r>
    <d v="2003-10-30T00:00:00"/>
    <s v="Trap 3"/>
    <n v="15"/>
    <x v="1"/>
    <s v="Restricted"/>
    <x v="5"/>
    <x v="1"/>
    <n v="45"/>
    <m/>
    <m/>
    <m/>
    <m/>
    <m/>
    <m/>
    <m/>
    <m/>
    <m/>
    <m/>
    <m/>
    <m/>
    <m/>
    <m/>
    <m/>
    <m/>
    <m/>
    <m/>
    <m/>
    <m/>
    <m/>
    <m/>
    <m/>
    <m/>
    <n v="1"/>
    <m/>
    <m/>
    <n v="46"/>
    <n v="2"/>
    <n v="1.2"/>
    <m/>
    <m/>
  </r>
  <r>
    <d v="2003-10-30T00:00:00"/>
    <s v="Boomerang"/>
    <n v="15"/>
    <x v="2"/>
    <s v="Pannes Cleared"/>
    <x v="5"/>
    <x v="1"/>
    <n v="181"/>
    <m/>
    <m/>
    <m/>
    <m/>
    <m/>
    <m/>
    <m/>
    <m/>
    <m/>
    <m/>
    <m/>
    <m/>
    <m/>
    <m/>
    <m/>
    <m/>
    <m/>
    <m/>
    <m/>
    <m/>
    <m/>
    <m/>
    <m/>
    <m/>
    <m/>
    <m/>
    <m/>
    <n v="181"/>
    <n v="1"/>
    <n v="1.3"/>
    <m/>
    <m/>
  </r>
  <r>
    <d v="2003-10-30T00:00:00"/>
    <s v="Doughnut Hole"/>
    <n v="15"/>
    <x v="2"/>
    <s v="Pannes Cleared"/>
    <x v="5"/>
    <x v="1"/>
    <n v="172"/>
    <m/>
    <m/>
    <m/>
    <m/>
    <m/>
    <m/>
    <m/>
    <m/>
    <m/>
    <m/>
    <m/>
    <m/>
    <m/>
    <m/>
    <m/>
    <m/>
    <m/>
    <m/>
    <m/>
    <m/>
    <m/>
    <m/>
    <m/>
    <m/>
    <m/>
    <m/>
    <m/>
    <n v="172"/>
    <n v="1"/>
    <n v="1.8"/>
    <m/>
    <m/>
  </r>
  <r>
    <d v="2004-06-02T00:00:00"/>
    <s v="Trap 2"/>
    <n v="14.5"/>
    <x v="0"/>
    <s v="Reference"/>
    <x v="6"/>
    <x v="0"/>
    <n v="76"/>
    <m/>
    <m/>
    <m/>
    <n v="0"/>
    <n v="0"/>
    <n v="0"/>
    <n v="0"/>
    <n v="0"/>
    <m/>
    <m/>
    <m/>
    <n v="1"/>
    <m/>
    <m/>
    <m/>
    <m/>
    <m/>
    <m/>
    <m/>
    <m/>
    <m/>
    <m/>
    <m/>
    <m/>
    <m/>
    <m/>
    <m/>
    <n v="77"/>
    <n v="2"/>
    <n v="2.3026315789473686"/>
    <m/>
    <m/>
  </r>
  <r>
    <d v="2004-06-02T00:00:00"/>
    <s v="Trap 3"/>
    <n v="14.5"/>
    <x v="1"/>
    <s v="Restricted"/>
    <x v="6"/>
    <x v="0"/>
    <n v="44"/>
    <m/>
    <n v="2"/>
    <m/>
    <m/>
    <m/>
    <m/>
    <m/>
    <m/>
    <m/>
    <m/>
    <m/>
    <n v="2"/>
    <m/>
    <m/>
    <m/>
    <m/>
    <m/>
    <m/>
    <m/>
    <m/>
    <m/>
    <m/>
    <m/>
    <m/>
    <m/>
    <m/>
    <m/>
    <n v="48"/>
    <n v="3"/>
    <n v="2.2727272727272729"/>
    <m/>
    <m/>
  </r>
  <r>
    <d v="2004-06-02T00:00:00"/>
    <s v="Boomerang"/>
    <n v="14.5"/>
    <x v="2"/>
    <s v="Pannes Cleared"/>
    <x v="6"/>
    <x v="0"/>
    <n v="466"/>
    <m/>
    <m/>
    <m/>
    <m/>
    <m/>
    <m/>
    <m/>
    <m/>
    <m/>
    <m/>
    <m/>
    <m/>
    <m/>
    <m/>
    <m/>
    <m/>
    <m/>
    <m/>
    <m/>
    <m/>
    <m/>
    <m/>
    <m/>
    <n v="1"/>
    <m/>
    <m/>
    <m/>
    <n v="467"/>
    <n v="3"/>
    <n v="2.2317596566523603"/>
    <m/>
    <m/>
  </r>
  <r>
    <d v="2004-06-02T00:00:00"/>
    <s v="Doughnut Hole"/>
    <n v="14.5"/>
    <x v="2"/>
    <s v="Pannes Cleared"/>
    <x v="6"/>
    <x v="0"/>
    <n v="15"/>
    <m/>
    <m/>
    <m/>
    <m/>
    <m/>
    <m/>
    <m/>
    <m/>
    <m/>
    <m/>
    <m/>
    <m/>
    <m/>
    <m/>
    <m/>
    <m/>
    <m/>
    <m/>
    <m/>
    <m/>
    <m/>
    <m/>
    <m/>
    <m/>
    <m/>
    <m/>
    <m/>
    <n v="15"/>
    <n v="1"/>
    <n v="2.2000000000000002"/>
    <m/>
    <m/>
  </r>
  <r>
    <d v="2004-06-03T00:00:00"/>
    <s v="Trap 2"/>
    <n v="24"/>
    <x v="0"/>
    <s v="Reference"/>
    <x v="6"/>
    <x v="0"/>
    <n v="115"/>
    <m/>
    <m/>
    <m/>
    <m/>
    <m/>
    <m/>
    <m/>
    <m/>
    <m/>
    <m/>
    <n v="1"/>
    <m/>
    <m/>
    <m/>
    <m/>
    <m/>
    <m/>
    <m/>
    <m/>
    <m/>
    <m/>
    <m/>
    <m/>
    <m/>
    <m/>
    <m/>
    <m/>
    <n v="116"/>
    <n v="2"/>
    <n v="2.7391304347826089"/>
    <n v="25"/>
    <m/>
  </r>
  <r>
    <d v="2004-06-03T00:00:00"/>
    <s v="Trap 3"/>
    <n v="24"/>
    <x v="1"/>
    <s v="Restricted"/>
    <x v="6"/>
    <x v="0"/>
    <n v="26"/>
    <m/>
    <m/>
    <m/>
    <m/>
    <m/>
    <m/>
    <m/>
    <m/>
    <m/>
    <m/>
    <n v="1"/>
    <m/>
    <n v="3"/>
    <m/>
    <m/>
    <m/>
    <m/>
    <m/>
    <n v="1"/>
    <n v="2"/>
    <m/>
    <m/>
    <m/>
    <m/>
    <m/>
    <m/>
    <m/>
    <n v="33"/>
    <n v="5"/>
    <n v="1.7475728155339805"/>
    <n v="10"/>
    <m/>
  </r>
  <r>
    <d v="2004-06-03T00:00:00"/>
    <s v="Boomerang"/>
    <n v="24"/>
    <x v="2"/>
    <s v="Pannes Cleared"/>
    <x v="6"/>
    <x v="0"/>
    <n v="36"/>
    <m/>
    <m/>
    <m/>
    <m/>
    <m/>
    <m/>
    <m/>
    <m/>
    <m/>
    <m/>
    <m/>
    <m/>
    <m/>
    <m/>
    <m/>
    <m/>
    <m/>
    <m/>
    <m/>
    <m/>
    <m/>
    <m/>
    <m/>
    <m/>
    <m/>
    <m/>
    <m/>
    <n v="36"/>
    <n v="1"/>
    <n v="2.3039215686274508"/>
    <m/>
    <m/>
  </r>
  <r>
    <d v="2004-06-03T00:00:00"/>
    <s v="Doughnut Hole"/>
    <n v="24"/>
    <x v="2"/>
    <s v="Pannes Cleared"/>
    <x v="6"/>
    <x v="0"/>
    <n v="25"/>
    <m/>
    <m/>
    <m/>
    <m/>
    <m/>
    <m/>
    <m/>
    <m/>
    <m/>
    <m/>
    <m/>
    <m/>
    <m/>
    <m/>
    <m/>
    <m/>
    <m/>
    <m/>
    <m/>
    <m/>
    <m/>
    <m/>
    <m/>
    <m/>
    <m/>
    <m/>
    <m/>
    <n v="25"/>
    <n v="1"/>
    <n v="1.1000000000000001"/>
    <m/>
    <m/>
  </r>
  <r>
    <d v="2004-06-04T00:00:00"/>
    <s v="Trap 2"/>
    <n v="24"/>
    <x v="0"/>
    <s v="Reference"/>
    <x v="6"/>
    <x v="0"/>
    <n v="164"/>
    <m/>
    <m/>
    <n v="1"/>
    <m/>
    <m/>
    <m/>
    <m/>
    <m/>
    <m/>
    <m/>
    <m/>
    <m/>
    <n v="2"/>
    <m/>
    <m/>
    <m/>
    <m/>
    <m/>
    <m/>
    <n v="4"/>
    <m/>
    <m/>
    <m/>
    <m/>
    <m/>
    <m/>
    <m/>
    <n v="171"/>
    <n v="4"/>
    <n v="2.4695121951219514"/>
    <m/>
    <m/>
  </r>
  <r>
    <d v="2004-06-04T00:00:00"/>
    <s v="Trap 3"/>
    <n v="24"/>
    <x v="1"/>
    <s v="Restricted"/>
    <x v="6"/>
    <x v="0"/>
    <n v="1"/>
    <m/>
    <m/>
    <n v="1"/>
    <m/>
    <m/>
    <m/>
    <m/>
    <m/>
    <m/>
    <m/>
    <m/>
    <m/>
    <n v="9"/>
    <m/>
    <m/>
    <m/>
    <m/>
    <m/>
    <m/>
    <n v="4"/>
    <m/>
    <n v="1"/>
    <m/>
    <m/>
    <m/>
    <m/>
    <m/>
    <n v="16"/>
    <n v="5"/>
    <n v="1.8"/>
    <m/>
    <m/>
  </r>
  <r>
    <d v="2004-06-04T00:00:00"/>
    <s v="Doughnut Hole"/>
    <n v="24"/>
    <x v="2"/>
    <s v="Pannes Cleared"/>
    <x v="6"/>
    <x v="0"/>
    <n v="253"/>
    <m/>
    <m/>
    <m/>
    <m/>
    <m/>
    <m/>
    <m/>
    <m/>
    <m/>
    <m/>
    <m/>
    <n v="1"/>
    <m/>
    <m/>
    <m/>
    <m/>
    <m/>
    <m/>
    <m/>
    <m/>
    <m/>
    <m/>
    <m/>
    <m/>
    <m/>
    <m/>
    <m/>
    <n v="254"/>
    <n v="2"/>
    <n v="1.6007905138339922"/>
    <m/>
    <m/>
  </r>
  <r>
    <d v="2004-06-10T00:00:00"/>
    <s v="Trap 2"/>
    <n v="16.5"/>
    <x v="0"/>
    <s v="Reference"/>
    <x v="6"/>
    <x v="0"/>
    <n v="115"/>
    <m/>
    <m/>
    <n v="1"/>
    <m/>
    <m/>
    <m/>
    <m/>
    <m/>
    <m/>
    <m/>
    <m/>
    <m/>
    <m/>
    <m/>
    <m/>
    <m/>
    <m/>
    <m/>
    <m/>
    <m/>
    <m/>
    <m/>
    <m/>
    <m/>
    <m/>
    <m/>
    <m/>
    <n v="116"/>
    <n v="2"/>
    <n v="1.4935064935064934"/>
    <m/>
    <m/>
  </r>
  <r>
    <d v="2004-06-10T00:00:00"/>
    <s v="Trap 3"/>
    <n v="16.5"/>
    <x v="1"/>
    <s v="Restricted"/>
    <x v="6"/>
    <x v="0"/>
    <m/>
    <m/>
    <n v="1"/>
    <m/>
    <m/>
    <m/>
    <m/>
    <m/>
    <m/>
    <m/>
    <m/>
    <m/>
    <m/>
    <m/>
    <m/>
    <m/>
    <m/>
    <m/>
    <m/>
    <m/>
    <m/>
    <m/>
    <m/>
    <m/>
    <m/>
    <m/>
    <m/>
    <m/>
    <n v="1"/>
    <n v="1"/>
    <m/>
    <m/>
    <m/>
  </r>
  <r>
    <d v="2004-06-10T00:00:00"/>
    <s v="Boomerang"/>
    <n v="3"/>
    <x v="2"/>
    <s v="Pannes Cleared"/>
    <x v="6"/>
    <x v="0"/>
    <n v="284"/>
    <m/>
    <m/>
    <m/>
    <m/>
    <m/>
    <m/>
    <m/>
    <m/>
    <m/>
    <m/>
    <m/>
    <n v="2"/>
    <m/>
    <m/>
    <m/>
    <m/>
    <m/>
    <m/>
    <m/>
    <m/>
    <m/>
    <m/>
    <m/>
    <m/>
    <m/>
    <m/>
    <m/>
    <n v="286"/>
    <n v="2"/>
    <n v="1.7253521126760563"/>
    <m/>
    <m/>
  </r>
  <r>
    <d v="2004-06-10T00:00:00"/>
    <s v="Doughnut Hole"/>
    <n v="3"/>
    <x v="2"/>
    <s v="Pannes Cleared"/>
    <x v="6"/>
    <x v="0"/>
    <n v="273"/>
    <m/>
    <m/>
    <m/>
    <m/>
    <m/>
    <m/>
    <m/>
    <m/>
    <m/>
    <m/>
    <m/>
    <m/>
    <m/>
    <m/>
    <m/>
    <m/>
    <m/>
    <m/>
    <m/>
    <m/>
    <m/>
    <m/>
    <m/>
    <m/>
    <m/>
    <m/>
    <m/>
    <n v="273"/>
    <n v="1"/>
    <n v="1.6117216117216118"/>
    <m/>
    <m/>
  </r>
  <r>
    <d v="2004-09-15T00:00:00"/>
    <s v="Trap 2"/>
    <n v="14"/>
    <x v="0"/>
    <s v="Reference"/>
    <x v="6"/>
    <x v="1"/>
    <n v="13"/>
    <m/>
    <m/>
    <m/>
    <m/>
    <m/>
    <m/>
    <m/>
    <m/>
    <m/>
    <m/>
    <m/>
    <m/>
    <m/>
    <m/>
    <m/>
    <m/>
    <m/>
    <m/>
    <m/>
    <m/>
    <m/>
    <m/>
    <m/>
    <m/>
    <m/>
    <m/>
    <m/>
    <n v="13"/>
    <n v="1"/>
    <n v="2"/>
    <m/>
    <m/>
  </r>
  <r>
    <d v="2004-09-15T00:00:00"/>
    <s v="Trap 2.5"/>
    <n v="14"/>
    <x v="0"/>
    <s v="Reference"/>
    <x v="6"/>
    <x v="1"/>
    <n v="6"/>
    <m/>
    <m/>
    <m/>
    <m/>
    <m/>
    <m/>
    <m/>
    <m/>
    <m/>
    <m/>
    <m/>
    <m/>
    <m/>
    <m/>
    <m/>
    <m/>
    <m/>
    <m/>
    <m/>
    <m/>
    <m/>
    <m/>
    <m/>
    <m/>
    <m/>
    <m/>
    <m/>
    <n v="6"/>
    <n v="1"/>
    <n v="0.33"/>
    <m/>
    <m/>
  </r>
  <r>
    <d v="2004-09-15T00:00:00"/>
    <s v="Boomerang"/>
    <n v="13.5"/>
    <x v="2"/>
    <s v="Pannes Cleared"/>
    <x v="6"/>
    <x v="1"/>
    <n v="237"/>
    <m/>
    <m/>
    <m/>
    <m/>
    <m/>
    <m/>
    <m/>
    <m/>
    <m/>
    <m/>
    <m/>
    <m/>
    <m/>
    <m/>
    <m/>
    <m/>
    <m/>
    <m/>
    <m/>
    <m/>
    <m/>
    <m/>
    <m/>
    <m/>
    <m/>
    <m/>
    <m/>
    <n v="237"/>
    <n v="1"/>
    <n v="2"/>
    <m/>
    <m/>
  </r>
  <r>
    <d v="2004-09-15T00:00:00"/>
    <s v="Doughnut Hole"/>
    <n v="13.5"/>
    <x v="2"/>
    <s v="Pannes Cleared"/>
    <x v="6"/>
    <x v="1"/>
    <n v="575"/>
    <m/>
    <m/>
    <m/>
    <m/>
    <m/>
    <m/>
    <m/>
    <m/>
    <m/>
    <m/>
    <m/>
    <m/>
    <m/>
    <m/>
    <m/>
    <m/>
    <m/>
    <m/>
    <m/>
    <m/>
    <m/>
    <m/>
    <m/>
    <m/>
    <m/>
    <m/>
    <m/>
    <n v="575"/>
    <n v="1"/>
    <n v="3.5"/>
    <m/>
    <m/>
  </r>
  <r>
    <d v="2004-09-16T00:00:00"/>
    <s v="Trap 2"/>
    <n v="23.5"/>
    <x v="0"/>
    <s v="Reference"/>
    <x v="6"/>
    <x v="1"/>
    <n v="116"/>
    <m/>
    <m/>
    <m/>
    <m/>
    <m/>
    <m/>
    <m/>
    <m/>
    <m/>
    <m/>
    <m/>
    <m/>
    <m/>
    <m/>
    <m/>
    <m/>
    <n v="1"/>
    <m/>
    <m/>
    <m/>
    <m/>
    <m/>
    <m/>
    <m/>
    <m/>
    <m/>
    <m/>
    <n v="117"/>
    <n v="2"/>
    <n v="1.7"/>
    <m/>
    <n v="3"/>
  </r>
  <r>
    <d v="2004-09-16T00:00:00"/>
    <s v="Trap 2.5"/>
    <n v="23.5"/>
    <x v="0"/>
    <s v="Reference"/>
    <x v="6"/>
    <x v="1"/>
    <n v="13"/>
    <m/>
    <m/>
    <m/>
    <m/>
    <m/>
    <m/>
    <m/>
    <m/>
    <m/>
    <m/>
    <m/>
    <m/>
    <m/>
    <m/>
    <m/>
    <m/>
    <m/>
    <m/>
    <m/>
    <m/>
    <m/>
    <m/>
    <m/>
    <m/>
    <m/>
    <m/>
    <m/>
    <n v="13"/>
    <n v="1"/>
    <n v="3"/>
    <m/>
    <m/>
  </r>
  <r>
    <d v="2004-09-16T00:00:00"/>
    <s v="Boomerang"/>
    <n v="19.5"/>
    <x v="2"/>
    <s v="Pannes Cleared"/>
    <x v="6"/>
    <x v="1"/>
    <n v="181"/>
    <m/>
    <m/>
    <m/>
    <m/>
    <m/>
    <m/>
    <m/>
    <m/>
    <m/>
    <m/>
    <m/>
    <m/>
    <m/>
    <m/>
    <m/>
    <m/>
    <m/>
    <m/>
    <m/>
    <m/>
    <m/>
    <m/>
    <m/>
    <m/>
    <m/>
    <m/>
    <m/>
    <n v="181"/>
    <n v="1"/>
    <n v="2"/>
    <m/>
    <m/>
  </r>
  <r>
    <d v="2004-09-20T00:00:00"/>
    <s v="Trap 2"/>
    <n v="3"/>
    <x v="0"/>
    <s v="Reference"/>
    <x v="6"/>
    <x v="1"/>
    <n v="8"/>
    <m/>
    <m/>
    <m/>
    <m/>
    <m/>
    <m/>
    <m/>
    <m/>
    <m/>
    <m/>
    <m/>
    <m/>
    <m/>
    <m/>
    <m/>
    <m/>
    <m/>
    <m/>
    <m/>
    <m/>
    <m/>
    <m/>
    <m/>
    <m/>
    <m/>
    <m/>
    <m/>
    <n v="8"/>
    <n v="1"/>
    <n v="2.5"/>
    <m/>
    <m/>
  </r>
  <r>
    <d v="2004-09-20T00:00:00"/>
    <s v="Trap 2.5"/>
    <n v="2.7"/>
    <x v="0"/>
    <s v="Reference"/>
    <x v="6"/>
    <x v="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</r>
  <r>
    <d v="2004-09-20T00:00:00"/>
    <s v="Boomerang"/>
    <n v="2"/>
    <x v="2"/>
    <s v="Pannes Cleared"/>
    <x v="6"/>
    <x v="1"/>
    <n v="1"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n v="2.6"/>
    <m/>
    <m/>
  </r>
  <r>
    <d v="2004-09-21T00:00:00"/>
    <s v="Trap 2"/>
    <n v="24.5"/>
    <x v="0"/>
    <s v="Reference"/>
    <x v="6"/>
    <x v="1"/>
    <n v="82"/>
    <m/>
    <m/>
    <m/>
    <m/>
    <m/>
    <m/>
    <m/>
    <m/>
    <m/>
    <m/>
    <m/>
    <m/>
    <m/>
    <m/>
    <m/>
    <m/>
    <m/>
    <m/>
    <m/>
    <m/>
    <m/>
    <m/>
    <m/>
    <m/>
    <m/>
    <m/>
    <m/>
    <n v="82"/>
    <n v="1"/>
    <n v="2.8"/>
    <m/>
    <m/>
  </r>
  <r>
    <d v="2004-09-21T00:00:00"/>
    <s v="Trap 2.5"/>
    <n v="24.5"/>
    <x v="0"/>
    <s v="Reference"/>
    <x v="6"/>
    <x v="1"/>
    <n v="127"/>
    <m/>
    <m/>
    <m/>
    <m/>
    <m/>
    <m/>
    <m/>
    <m/>
    <m/>
    <m/>
    <m/>
    <m/>
    <m/>
    <m/>
    <m/>
    <m/>
    <m/>
    <m/>
    <m/>
    <m/>
    <m/>
    <m/>
    <m/>
    <m/>
    <m/>
    <m/>
    <m/>
    <n v="127"/>
    <n v="1"/>
    <n v="1.7"/>
    <m/>
    <m/>
  </r>
  <r>
    <d v="2004-09-21T00:00:00"/>
    <s v="Trap 3"/>
    <n v="24.5"/>
    <x v="1"/>
    <s v="Restricted"/>
    <x v="6"/>
    <x v="1"/>
    <n v="42"/>
    <m/>
    <m/>
    <m/>
    <m/>
    <m/>
    <m/>
    <m/>
    <m/>
    <m/>
    <m/>
    <m/>
    <m/>
    <m/>
    <m/>
    <m/>
    <m/>
    <m/>
    <m/>
    <m/>
    <m/>
    <m/>
    <m/>
    <m/>
    <m/>
    <m/>
    <m/>
    <m/>
    <n v="42"/>
    <n v="1"/>
    <n v="1.2"/>
    <m/>
    <m/>
  </r>
  <r>
    <d v="2004-09-21T00:00:00"/>
    <s v="Boomerang"/>
    <n v="18.5"/>
    <x v="2"/>
    <s v="Pannes Cleared"/>
    <x v="6"/>
    <x v="1"/>
    <n v="16"/>
    <m/>
    <m/>
    <m/>
    <m/>
    <m/>
    <m/>
    <m/>
    <m/>
    <m/>
    <m/>
    <m/>
    <m/>
    <m/>
    <m/>
    <m/>
    <m/>
    <m/>
    <m/>
    <m/>
    <m/>
    <m/>
    <m/>
    <m/>
    <m/>
    <m/>
    <m/>
    <m/>
    <n v="16"/>
    <n v="1"/>
    <n v="1.9"/>
    <m/>
    <m/>
  </r>
  <r>
    <d v="2004-09-23T00:00:00"/>
    <s v="Trap 2"/>
    <n v="16"/>
    <x v="0"/>
    <s v="Reference"/>
    <x v="6"/>
    <x v="1"/>
    <n v="126"/>
    <m/>
    <m/>
    <m/>
    <m/>
    <m/>
    <m/>
    <m/>
    <m/>
    <m/>
    <m/>
    <m/>
    <m/>
    <m/>
    <m/>
    <m/>
    <m/>
    <m/>
    <m/>
    <m/>
    <m/>
    <m/>
    <m/>
    <m/>
    <m/>
    <m/>
    <m/>
    <m/>
    <n v="126"/>
    <n v="1"/>
    <n v="2.8"/>
    <m/>
    <m/>
  </r>
  <r>
    <d v="2004-09-23T00:00:00"/>
    <s v="Trap 2.5"/>
    <n v="14"/>
    <x v="0"/>
    <s v="Reference"/>
    <x v="6"/>
    <x v="1"/>
    <n v="147"/>
    <m/>
    <m/>
    <m/>
    <m/>
    <m/>
    <m/>
    <m/>
    <m/>
    <m/>
    <m/>
    <m/>
    <m/>
    <m/>
    <m/>
    <m/>
    <m/>
    <m/>
    <m/>
    <m/>
    <m/>
    <m/>
    <m/>
    <m/>
    <m/>
    <m/>
    <m/>
    <m/>
    <n v="147"/>
    <n v="1"/>
    <n v="2.7"/>
    <m/>
    <m/>
  </r>
  <r>
    <d v="2004-09-23T00:00:00"/>
    <s v="Trap 3"/>
    <n v="14"/>
    <x v="1"/>
    <s v="Restricted"/>
    <x v="6"/>
    <x v="1"/>
    <n v="48"/>
    <m/>
    <m/>
    <m/>
    <m/>
    <m/>
    <m/>
    <m/>
    <m/>
    <m/>
    <m/>
    <m/>
    <m/>
    <m/>
    <m/>
    <m/>
    <m/>
    <m/>
    <m/>
    <m/>
    <m/>
    <m/>
    <m/>
    <m/>
    <m/>
    <m/>
    <m/>
    <m/>
    <n v="48"/>
    <n v="1"/>
    <n v="1.1000000000000001"/>
    <m/>
    <m/>
  </r>
  <r>
    <d v="2004-09-23T00:00:00"/>
    <s v="Boomerang"/>
    <n v="14"/>
    <x v="2"/>
    <s v="Pannes Cleared"/>
    <x v="6"/>
    <x v="1"/>
    <n v="99"/>
    <m/>
    <m/>
    <m/>
    <m/>
    <m/>
    <m/>
    <m/>
    <m/>
    <m/>
    <m/>
    <m/>
    <m/>
    <m/>
    <m/>
    <m/>
    <m/>
    <m/>
    <m/>
    <m/>
    <m/>
    <m/>
    <m/>
    <m/>
    <m/>
    <m/>
    <m/>
    <m/>
    <n v="99"/>
    <n v="1"/>
    <n v="1.7"/>
    <m/>
    <m/>
  </r>
  <r>
    <d v="2004-09-24T00:00:00"/>
    <s v="Trap 2"/>
    <n v="17.5"/>
    <x v="0"/>
    <s v="Reference"/>
    <x v="6"/>
    <x v="1"/>
    <n v="15"/>
    <m/>
    <m/>
    <m/>
    <m/>
    <m/>
    <m/>
    <m/>
    <m/>
    <m/>
    <m/>
    <m/>
    <m/>
    <m/>
    <m/>
    <m/>
    <m/>
    <n v="27"/>
    <m/>
    <m/>
    <m/>
    <m/>
    <m/>
    <m/>
    <m/>
    <n v="1"/>
    <m/>
    <m/>
    <n v="43"/>
    <n v="3"/>
    <n v="3"/>
    <m/>
    <n v="4.5999999999999996"/>
  </r>
  <r>
    <d v="2004-09-24T00:00:00"/>
    <s v="Trap 2.5"/>
    <n v="17.5"/>
    <x v="0"/>
    <s v="Reference"/>
    <x v="6"/>
    <x v="1"/>
    <n v="34"/>
    <m/>
    <m/>
    <m/>
    <m/>
    <m/>
    <m/>
    <m/>
    <m/>
    <m/>
    <m/>
    <m/>
    <m/>
    <m/>
    <m/>
    <m/>
    <m/>
    <m/>
    <m/>
    <m/>
    <m/>
    <m/>
    <m/>
    <m/>
    <m/>
    <m/>
    <m/>
    <m/>
    <n v="34"/>
    <n v="2"/>
    <n v="2.4"/>
    <m/>
    <m/>
  </r>
  <r>
    <d v="2004-09-24T00:00:00"/>
    <s v="Trap 3"/>
    <n v="17.5"/>
    <x v="1"/>
    <s v="Restricted"/>
    <x v="6"/>
    <x v="1"/>
    <n v="16"/>
    <m/>
    <m/>
    <m/>
    <m/>
    <m/>
    <m/>
    <m/>
    <m/>
    <m/>
    <m/>
    <m/>
    <m/>
    <m/>
    <m/>
    <m/>
    <m/>
    <m/>
    <m/>
    <m/>
    <m/>
    <m/>
    <m/>
    <m/>
    <m/>
    <m/>
    <m/>
    <m/>
    <n v="16"/>
    <n v="1"/>
    <n v="2"/>
    <m/>
    <m/>
  </r>
  <r>
    <d v="2004-09-24T00:00:00"/>
    <s v="Boomerang"/>
    <n v="17.5"/>
    <x v="2"/>
    <s v="Pannes Cleared"/>
    <x v="6"/>
    <x v="1"/>
    <n v="219"/>
    <m/>
    <m/>
    <m/>
    <m/>
    <m/>
    <m/>
    <m/>
    <m/>
    <m/>
    <m/>
    <m/>
    <m/>
    <m/>
    <m/>
    <m/>
    <m/>
    <m/>
    <m/>
    <m/>
    <m/>
    <m/>
    <m/>
    <m/>
    <m/>
    <m/>
    <m/>
    <m/>
    <n v="219"/>
    <n v="1"/>
    <n v="2"/>
    <m/>
    <m/>
  </r>
  <r>
    <d v="2005-06-06T00:00:00"/>
    <s v="Boomerang"/>
    <n v="0.66"/>
    <x v="2"/>
    <s v="Pannes Cleared"/>
    <x v="7"/>
    <x v="0"/>
    <n v="14"/>
    <m/>
    <m/>
    <m/>
    <m/>
    <m/>
    <m/>
    <m/>
    <m/>
    <m/>
    <m/>
    <m/>
    <m/>
    <m/>
    <m/>
    <m/>
    <m/>
    <m/>
    <m/>
    <m/>
    <m/>
    <m/>
    <m/>
    <m/>
    <m/>
    <m/>
    <m/>
    <m/>
    <n v="14"/>
    <n v="1"/>
    <n v="3.75"/>
    <m/>
    <m/>
  </r>
  <r>
    <d v="2005-06-06T00:00:00"/>
    <s v="Doughnut Hole"/>
    <n v="1.33"/>
    <x v="2"/>
    <s v="Pannes Cleared"/>
    <x v="7"/>
    <x v="0"/>
    <m/>
    <m/>
    <n v="1"/>
    <m/>
    <m/>
    <m/>
    <m/>
    <m/>
    <m/>
    <m/>
    <m/>
    <m/>
    <m/>
    <m/>
    <m/>
    <m/>
    <m/>
    <m/>
    <m/>
    <m/>
    <m/>
    <m/>
    <m/>
    <m/>
    <m/>
    <m/>
    <m/>
    <m/>
    <n v="1"/>
    <n v="1"/>
    <n v="0"/>
    <m/>
    <m/>
  </r>
  <r>
    <d v="2005-06-07T00:00:00"/>
    <s v="Boomerang"/>
    <n v="19.5"/>
    <x v="2"/>
    <s v="Pannes Cleared"/>
    <x v="7"/>
    <x v="0"/>
    <n v="171"/>
    <m/>
    <m/>
    <m/>
    <m/>
    <m/>
    <m/>
    <m/>
    <m/>
    <m/>
    <m/>
    <n v="1"/>
    <m/>
    <n v="1"/>
    <m/>
    <m/>
    <m/>
    <m/>
    <m/>
    <m/>
    <m/>
    <m/>
    <m/>
    <m/>
    <m/>
    <m/>
    <m/>
    <m/>
    <n v="173"/>
    <n v="3"/>
    <n v="3.0409356725146197"/>
    <n v="5"/>
    <m/>
  </r>
  <r>
    <d v="2005-06-07T00:00:00"/>
    <s v="Doughnut Hole"/>
    <n v="19.5"/>
    <x v="2"/>
    <s v="Pannes Cleared"/>
    <x v="7"/>
    <x v="0"/>
    <n v="18"/>
    <m/>
    <m/>
    <m/>
    <m/>
    <m/>
    <m/>
    <m/>
    <m/>
    <m/>
    <m/>
    <m/>
    <m/>
    <m/>
    <m/>
    <m/>
    <m/>
    <m/>
    <m/>
    <m/>
    <m/>
    <m/>
    <m/>
    <m/>
    <m/>
    <m/>
    <m/>
    <m/>
    <n v="18"/>
    <n v="1"/>
    <n v="3.8333333333333335"/>
    <m/>
    <m/>
  </r>
  <r>
    <d v="2008-06-08T00:00:00"/>
    <s v="Boomerang"/>
    <n v="2.16"/>
    <x v="2"/>
    <s v="Pannes Cleared"/>
    <x v="7"/>
    <x v="0"/>
    <n v="23"/>
    <m/>
    <n v="1"/>
    <n v="3"/>
    <m/>
    <m/>
    <m/>
    <m/>
    <m/>
    <m/>
    <m/>
    <m/>
    <m/>
    <m/>
    <m/>
    <m/>
    <m/>
    <m/>
    <m/>
    <m/>
    <m/>
    <m/>
    <m/>
    <m/>
    <m/>
    <m/>
    <m/>
    <m/>
    <n v="27"/>
    <n v="3"/>
    <n v="1.8695652173913044"/>
    <m/>
    <m/>
  </r>
  <r>
    <d v="2005-06-08T00:00:00"/>
    <s v="Doughnut Hole"/>
    <n v="2.25"/>
    <x v="2"/>
    <s v="Pannes Cleared"/>
    <x v="7"/>
    <x v="0"/>
    <n v="3"/>
    <m/>
    <m/>
    <m/>
    <m/>
    <m/>
    <m/>
    <m/>
    <m/>
    <m/>
    <m/>
    <n v="1"/>
    <m/>
    <m/>
    <m/>
    <m/>
    <m/>
    <m/>
    <m/>
    <m/>
    <m/>
    <m/>
    <m/>
    <m/>
    <m/>
    <m/>
    <m/>
    <m/>
    <n v="4"/>
    <n v="2"/>
    <n v="1"/>
    <n v="0.5"/>
    <m/>
  </r>
  <r>
    <d v="2005-06-09T00:00:00"/>
    <s v="Boomerang"/>
    <n v="1.66"/>
    <x v="2"/>
    <s v="Pannes Cleared"/>
    <x v="7"/>
    <x v="0"/>
    <n v="89"/>
    <m/>
    <n v="4"/>
    <n v="1"/>
    <m/>
    <m/>
    <m/>
    <m/>
    <m/>
    <m/>
    <m/>
    <m/>
    <m/>
    <m/>
    <m/>
    <m/>
    <m/>
    <m/>
    <m/>
    <m/>
    <m/>
    <m/>
    <m/>
    <m/>
    <m/>
    <m/>
    <m/>
    <m/>
    <n v="94"/>
    <n v="3"/>
    <n v="3.1460674157303372"/>
    <m/>
    <m/>
  </r>
  <r>
    <d v="2005-06-09T00:00:00"/>
    <s v="Boomerang"/>
    <n v="2.25"/>
    <x v="2"/>
    <s v="Pannes Cleared"/>
    <x v="7"/>
    <x v="0"/>
    <n v="73"/>
    <m/>
    <m/>
    <m/>
    <m/>
    <m/>
    <m/>
    <m/>
    <m/>
    <m/>
    <m/>
    <n v="2"/>
    <m/>
    <m/>
    <m/>
    <m/>
    <m/>
    <m/>
    <m/>
    <m/>
    <m/>
    <m/>
    <m/>
    <m/>
    <m/>
    <m/>
    <m/>
    <m/>
    <n v="75"/>
    <n v="2"/>
    <n v="2.7397260273972601"/>
    <m/>
    <m/>
  </r>
  <r>
    <d v="2005-06-09T00:00:00"/>
    <s v="Doughnut Hole"/>
    <n v="2.25"/>
    <x v="2"/>
    <s v="Pannes Cleared"/>
    <x v="7"/>
    <x v="0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</r>
  <r>
    <d v="2005-06-09T00:00:00"/>
    <s v="Boomerang"/>
    <n v="1.5"/>
    <x v="2"/>
    <s v="Pannes Cleared"/>
    <x v="7"/>
    <x v="0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</r>
  <r>
    <d v="2005-06-09T00:00:00"/>
    <s v="Doughnut Hole"/>
    <n v="1.5"/>
    <x v="2"/>
    <s v="Pannes Cleared"/>
    <x v="7"/>
    <x v="0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</r>
  <r>
    <d v="2005-10-11T00:00:00"/>
    <s v="Trap 2.5"/>
    <n v="20"/>
    <x v="0"/>
    <s v="Reference"/>
    <x v="7"/>
    <x v="1"/>
    <n v="229"/>
    <m/>
    <m/>
    <m/>
    <m/>
    <m/>
    <m/>
    <m/>
    <m/>
    <m/>
    <m/>
    <m/>
    <m/>
    <m/>
    <m/>
    <m/>
    <m/>
    <m/>
    <m/>
    <m/>
    <m/>
    <m/>
    <m/>
    <m/>
    <m/>
    <n v="1"/>
    <m/>
    <m/>
    <n v="230"/>
    <n v="2"/>
    <n v="1.6"/>
    <m/>
    <m/>
  </r>
  <r>
    <d v="2005-10-11T00:00:00"/>
    <s v="Trap 3"/>
    <n v="20"/>
    <x v="1"/>
    <s v="Restricted"/>
    <x v="7"/>
    <x v="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</r>
  <r>
    <d v="2005-10-11T00:00:00"/>
    <s v="Boomerang"/>
    <n v="20"/>
    <x v="2"/>
    <s v="Pannes Cleared"/>
    <x v="7"/>
    <x v="1"/>
    <n v="324"/>
    <m/>
    <m/>
    <m/>
    <m/>
    <m/>
    <m/>
    <m/>
    <m/>
    <m/>
    <m/>
    <m/>
    <m/>
    <m/>
    <m/>
    <m/>
    <m/>
    <m/>
    <m/>
    <m/>
    <m/>
    <m/>
    <m/>
    <m/>
    <m/>
    <m/>
    <m/>
    <m/>
    <n v="324"/>
    <n v="1"/>
    <n v="1.7"/>
    <m/>
    <m/>
  </r>
  <r>
    <d v="2005-10-11T00:00:00"/>
    <s v="Doughnut Hole"/>
    <n v="20"/>
    <x v="2"/>
    <s v="Pannes Cleared"/>
    <x v="7"/>
    <x v="1"/>
    <n v="428"/>
    <m/>
    <m/>
    <m/>
    <m/>
    <m/>
    <m/>
    <m/>
    <m/>
    <m/>
    <m/>
    <m/>
    <m/>
    <m/>
    <m/>
    <m/>
    <m/>
    <m/>
    <m/>
    <m/>
    <m/>
    <m/>
    <m/>
    <m/>
    <m/>
    <m/>
    <m/>
    <m/>
    <n v="428"/>
    <n v="1"/>
    <n v="1.5"/>
    <m/>
    <m/>
  </r>
  <r>
    <d v="2005-10-12T00:00:00"/>
    <s v="Trap 2.5"/>
    <n v="24"/>
    <x v="0"/>
    <s v="Reference"/>
    <x v="7"/>
    <x v="1"/>
    <n v="12"/>
    <m/>
    <m/>
    <m/>
    <m/>
    <m/>
    <m/>
    <m/>
    <m/>
    <m/>
    <m/>
    <m/>
    <m/>
    <m/>
    <m/>
    <m/>
    <m/>
    <m/>
    <m/>
    <m/>
    <m/>
    <m/>
    <m/>
    <m/>
    <m/>
    <m/>
    <m/>
    <m/>
    <n v="102"/>
    <n v="1"/>
    <n v="1.6"/>
    <m/>
    <m/>
  </r>
  <r>
    <d v="2005-10-12T00:00:00"/>
    <s v="Trap 3"/>
    <n v="24"/>
    <x v="1"/>
    <s v="Restricted"/>
    <x v="7"/>
    <x v="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</r>
  <r>
    <d v="2005-10-12T00:00:00"/>
    <s v="Boomerang"/>
    <n v="24"/>
    <x v="2"/>
    <s v="Pannes Cleared"/>
    <x v="7"/>
    <x v="1"/>
    <n v="195"/>
    <m/>
    <m/>
    <m/>
    <m/>
    <m/>
    <m/>
    <m/>
    <m/>
    <m/>
    <m/>
    <m/>
    <m/>
    <m/>
    <m/>
    <m/>
    <m/>
    <m/>
    <m/>
    <m/>
    <m/>
    <m/>
    <m/>
    <m/>
    <m/>
    <m/>
    <m/>
    <m/>
    <n v="195"/>
    <n v="1"/>
    <n v="2.17"/>
    <m/>
    <m/>
  </r>
  <r>
    <d v="2005-10-12T00:00:00"/>
    <s v="Doughnut Hole"/>
    <n v="24"/>
    <x v="2"/>
    <s v="Pannes Cleared"/>
    <x v="7"/>
    <x v="1"/>
    <n v="438"/>
    <m/>
    <m/>
    <m/>
    <m/>
    <m/>
    <m/>
    <m/>
    <m/>
    <m/>
    <m/>
    <m/>
    <m/>
    <m/>
    <m/>
    <m/>
    <m/>
    <m/>
    <m/>
    <m/>
    <m/>
    <m/>
    <m/>
    <m/>
    <m/>
    <m/>
    <m/>
    <m/>
    <n v="438"/>
    <n v="1"/>
    <n v="0.9"/>
    <m/>
    <m/>
  </r>
  <r>
    <d v="2005-10-13T00:00:00"/>
    <s v="Trap 2.5"/>
    <n v="23.5"/>
    <x v="0"/>
    <s v="Reference"/>
    <x v="7"/>
    <x v="1"/>
    <n v="12"/>
    <m/>
    <m/>
    <m/>
    <m/>
    <m/>
    <m/>
    <m/>
    <m/>
    <m/>
    <n v="2"/>
    <m/>
    <m/>
    <m/>
    <m/>
    <m/>
    <m/>
    <m/>
    <m/>
    <m/>
    <m/>
    <m/>
    <m/>
    <m/>
    <m/>
    <m/>
    <m/>
    <m/>
    <n v="14"/>
    <n v="2"/>
    <n v="2.1"/>
    <m/>
    <m/>
  </r>
  <r>
    <d v="2005-10-13T00:00:00"/>
    <s v="Trap 3"/>
    <n v="23.5"/>
    <x v="1"/>
    <s v="Restricted"/>
    <x v="7"/>
    <x v="1"/>
    <n v="81"/>
    <m/>
    <m/>
    <m/>
    <m/>
    <m/>
    <m/>
    <m/>
    <m/>
    <m/>
    <n v="2"/>
    <m/>
    <m/>
    <m/>
    <m/>
    <m/>
    <m/>
    <m/>
    <m/>
    <m/>
    <m/>
    <m/>
    <m/>
    <m/>
    <m/>
    <m/>
    <m/>
    <m/>
    <n v="83"/>
    <n v="2"/>
    <n v="1.5"/>
    <m/>
    <m/>
  </r>
  <r>
    <d v="2005-10-13T00:00:00"/>
    <s v="Boomerang"/>
    <n v="23.5"/>
    <x v="2"/>
    <s v="Pannes Cleared"/>
    <x v="7"/>
    <x v="1"/>
    <n v="34"/>
    <m/>
    <m/>
    <m/>
    <m/>
    <m/>
    <m/>
    <m/>
    <m/>
    <m/>
    <m/>
    <m/>
    <m/>
    <m/>
    <m/>
    <m/>
    <m/>
    <m/>
    <m/>
    <m/>
    <m/>
    <m/>
    <m/>
    <m/>
    <m/>
    <m/>
    <m/>
    <m/>
    <n v="34"/>
    <n v="1"/>
    <n v="1.8"/>
    <m/>
    <m/>
  </r>
  <r>
    <d v="2005-10-13T00:00:00"/>
    <s v="Doughnut Hole"/>
    <n v="23.5"/>
    <x v="2"/>
    <s v="Pannes Cleared"/>
    <x v="7"/>
    <x v="1"/>
    <n v="26"/>
    <m/>
    <m/>
    <m/>
    <m/>
    <m/>
    <m/>
    <m/>
    <m/>
    <m/>
    <m/>
    <m/>
    <m/>
    <m/>
    <m/>
    <m/>
    <m/>
    <m/>
    <m/>
    <m/>
    <m/>
    <m/>
    <m/>
    <m/>
    <m/>
    <m/>
    <m/>
    <m/>
    <n v="260"/>
    <n v="1"/>
    <n v="1.7"/>
    <m/>
    <m/>
  </r>
  <r>
    <d v="2005-10-18T00:00:00"/>
    <s v="Trap 2.5"/>
    <n v="18"/>
    <x v="0"/>
    <s v="Reference"/>
    <x v="7"/>
    <x v="1"/>
    <n v="71"/>
    <m/>
    <m/>
    <m/>
    <m/>
    <m/>
    <m/>
    <m/>
    <m/>
    <m/>
    <m/>
    <m/>
    <m/>
    <m/>
    <m/>
    <m/>
    <m/>
    <m/>
    <m/>
    <m/>
    <m/>
    <m/>
    <m/>
    <m/>
    <m/>
    <m/>
    <m/>
    <m/>
    <n v="71"/>
    <n v="1"/>
    <n v="2"/>
    <m/>
    <m/>
  </r>
  <r>
    <d v="2005-10-18T00:00:00"/>
    <s v="Trap 3"/>
    <n v="18"/>
    <x v="1"/>
    <s v="Restricted"/>
    <x v="7"/>
    <x v="1"/>
    <n v="43"/>
    <m/>
    <m/>
    <m/>
    <m/>
    <m/>
    <m/>
    <m/>
    <m/>
    <m/>
    <m/>
    <m/>
    <m/>
    <m/>
    <m/>
    <m/>
    <m/>
    <m/>
    <m/>
    <m/>
    <m/>
    <m/>
    <m/>
    <m/>
    <m/>
    <m/>
    <m/>
    <m/>
    <n v="43"/>
    <n v="1"/>
    <n v="2.2999999999999998"/>
    <m/>
    <m/>
  </r>
  <r>
    <d v="2005-10-18T00:00:00"/>
    <s v="Boomerang"/>
    <n v="18"/>
    <x v="2"/>
    <s v="Pannes Cleared"/>
    <x v="7"/>
    <x v="1"/>
    <n v="186"/>
    <m/>
    <m/>
    <m/>
    <m/>
    <m/>
    <m/>
    <m/>
    <m/>
    <m/>
    <m/>
    <m/>
    <m/>
    <m/>
    <m/>
    <m/>
    <m/>
    <m/>
    <m/>
    <m/>
    <m/>
    <m/>
    <m/>
    <m/>
    <m/>
    <m/>
    <m/>
    <m/>
    <n v="186"/>
    <n v="1"/>
    <m/>
    <m/>
    <m/>
  </r>
  <r>
    <d v="2005-10-18T00:00:00"/>
    <s v="Doughnut Hole"/>
    <n v="18"/>
    <x v="2"/>
    <s v="Pannes Cleared"/>
    <x v="7"/>
    <x v="1"/>
    <n v="297"/>
    <m/>
    <m/>
    <m/>
    <m/>
    <m/>
    <m/>
    <m/>
    <m/>
    <m/>
    <m/>
    <m/>
    <m/>
    <m/>
    <m/>
    <m/>
    <m/>
    <m/>
    <m/>
    <m/>
    <m/>
    <m/>
    <m/>
    <m/>
    <m/>
    <m/>
    <m/>
    <m/>
    <n v="297"/>
    <n v="1"/>
    <n v="2.7"/>
    <m/>
    <m/>
  </r>
  <r>
    <d v="2005-10-19T00:00:00"/>
    <s v="Trap 2.5"/>
    <n v="24"/>
    <x v="0"/>
    <s v="Reference"/>
    <x v="7"/>
    <x v="1"/>
    <n v="116"/>
    <m/>
    <m/>
    <m/>
    <m/>
    <m/>
    <m/>
    <m/>
    <m/>
    <m/>
    <m/>
    <m/>
    <m/>
    <m/>
    <m/>
    <m/>
    <m/>
    <m/>
    <m/>
    <m/>
    <m/>
    <m/>
    <m/>
    <m/>
    <m/>
    <m/>
    <m/>
    <m/>
    <n v="116"/>
    <n v="1"/>
    <n v="2.2000000000000002"/>
    <m/>
    <m/>
  </r>
  <r>
    <d v="2005-10-19T00:00:00"/>
    <s v="Trap 3"/>
    <n v="24"/>
    <x v="1"/>
    <s v="Restricted"/>
    <x v="7"/>
    <x v="1"/>
    <n v="15"/>
    <m/>
    <m/>
    <m/>
    <m/>
    <m/>
    <m/>
    <m/>
    <m/>
    <m/>
    <m/>
    <m/>
    <m/>
    <m/>
    <m/>
    <m/>
    <m/>
    <m/>
    <m/>
    <m/>
    <m/>
    <m/>
    <m/>
    <m/>
    <m/>
    <m/>
    <m/>
    <m/>
    <n v="105"/>
    <n v="1"/>
    <n v="1.9"/>
    <m/>
    <m/>
  </r>
  <r>
    <d v="2005-10-19T00:00:00"/>
    <s v="Boomerang"/>
    <n v="24"/>
    <x v="2"/>
    <s v="Pannes Cleared"/>
    <x v="7"/>
    <x v="1"/>
    <n v="25"/>
    <m/>
    <m/>
    <m/>
    <m/>
    <m/>
    <m/>
    <m/>
    <m/>
    <m/>
    <m/>
    <m/>
    <m/>
    <m/>
    <m/>
    <m/>
    <m/>
    <m/>
    <m/>
    <m/>
    <m/>
    <m/>
    <m/>
    <m/>
    <m/>
    <m/>
    <m/>
    <m/>
    <n v="250"/>
    <n v="1"/>
    <n v="2.5"/>
    <m/>
    <m/>
  </r>
  <r>
    <d v="2005-10-19T00:00:00"/>
    <s v="Doughnut Hole"/>
    <n v="24"/>
    <x v="2"/>
    <s v="Pannes Cleared"/>
    <x v="7"/>
    <x v="1"/>
    <n v="271"/>
    <m/>
    <m/>
    <m/>
    <m/>
    <m/>
    <m/>
    <m/>
    <m/>
    <m/>
    <m/>
    <m/>
    <m/>
    <m/>
    <m/>
    <m/>
    <m/>
    <m/>
    <m/>
    <m/>
    <m/>
    <m/>
    <m/>
    <m/>
    <m/>
    <m/>
    <m/>
    <m/>
    <n v="271"/>
    <n v="1"/>
    <n v="2.4"/>
    <m/>
    <m/>
  </r>
  <r>
    <d v="2006-08-31T00:00:00"/>
    <s v="Jelly Bean"/>
    <n v="2.5"/>
    <x v="3"/>
    <s v="Pannes Cleared"/>
    <x v="8"/>
    <x v="2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</r>
  <r>
    <d v="2006-10-02T00:00:00"/>
    <s v="Trap 2.5"/>
    <n v="18"/>
    <x v="0"/>
    <s v="Reference"/>
    <x v="8"/>
    <x v="1"/>
    <n v="72"/>
    <m/>
    <m/>
    <m/>
    <m/>
    <m/>
    <m/>
    <m/>
    <m/>
    <m/>
    <m/>
    <m/>
    <m/>
    <m/>
    <m/>
    <m/>
    <m/>
    <m/>
    <m/>
    <m/>
    <m/>
    <m/>
    <m/>
    <m/>
    <m/>
    <m/>
    <m/>
    <m/>
    <n v="72"/>
    <m/>
    <n v="2.5694444444444446"/>
    <m/>
    <m/>
  </r>
  <r>
    <d v="2006-10-02T00:00:00"/>
    <s v="Divergent"/>
    <n v="18"/>
    <x v="2"/>
    <s v="Pannes Cleared"/>
    <x v="8"/>
    <x v="1"/>
    <n v="172"/>
    <m/>
    <m/>
    <m/>
    <m/>
    <m/>
    <m/>
    <m/>
    <m/>
    <m/>
    <m/>
    <m/>
    <m/>
    <m/>
    <m/>
    <m/>
    <m/>
    <m/>
    <m/>
    <m/>
    <m/>
    <m/>
    <m/>
    <m/>
    <m/>
    <m/>
    <m/>
    <m/>
    <n v="172"/>
    <m/>
    <n v="2.0639534883720931"/>
    <m/>
    <m/>
  </r>
  <r>
    <d v="2006-10-02T00:00:00"/>
    <s v="Boomerang"/>
    <n v="18"/>
    <x v="2"/>
    <s v="Pannes Cleared"/>
    <x v="8"/>
    <x v="1"/>
    <m/>
    <m/>
    <m/>
    <n v="1"/>
    <m/>
    <m/>
    <m/>
    <m/>
    <m/>
    <m/>
    <m/>
    <m/>
    <m/>
    <m/>
    <m/>
    <m/>
    <m/>
    <m/>
    <m/>
    <m/>
    <m/>
    <m/>
    <m/>
    <m/>
    <m/>
    <m/>
    <m/>
    <m/>
    <n v="1"/>
    <m/>
    <n v="1"/>
    <m/>
    <m/>
  </r>
  <r>
    <d v="2006-10-02T00:00:00"/>
    <s v="Jelly Bean"/>
    <n v="18"/>
    <x v="3"/>
    <s v="Pannes Cleared"/>
    <x v="8"/>
    <x v="1"/>
    <n v="307"/>
    <m/>
    <m/>
    <m/>
    <m/>
    <m/>
    <m/>
    <m/>
    <m/>
    <m/>
    <m/>
    <m/>
    <m/>
    <m/>
    <m/>
    <m/>
    <m/>
    <m/>
    <m/>
    <m/>
    <m/>
    <m/>
    <m/>
    <m/>
    <m/>
    <m/>
    <m/>
    <m/>
    <n v="307"/>
    <m/>
    <n v="2.44299674267101"/>
    <m/>
    <m/>
  </r>
  <r>
    <d v="2006-10-10T00:00:00"/>
    <s v="Trap 2.5"/>
    <n v="23"/>
    <x v="0"/>
    <s v="Reference"/>
    <x v="8"/>
    <x v="1"/>
    <n v="39"/>
    <m/>
    <m/>
    <m/>
    <m/>
    <m/>
    <m/>
    <m/>
    <m/>
    <m/>
    <m/>
    <m/>
    <m/>
    <m/>
    <m/>
    <m/>
    <m/>
    <m/>
    <m/>
    <m/>
    <m/>
    <m/>
    <m/>
    <m/>
    <m/>
    <n v="1"/>
    <m/>
    <m/>
    <n v="40"/>
    <m/>
    <n v="2.9166666666666665"/>
    <m/>
    <m/>
  </r>
  <r>
    <d v="2006-10-10T00:00:00"/>
    <s v="Divergent"/>
    <n v="23"/>
    <x v="2"/>
    <s v="Pannes Cleared"/>
    <x v="8"/>
    <x v="1"/>
    <n v="44"/>
    <m/>
    <m/>
    <m/>
    <m/>
    <m/>
    <m/>
    <m/>
    <m/>
    <m/>
    <m/>
    <m/>
    <m/>
    <m/>
    <m/>
    <m/>
    <m/>
    <m/>
    <m/>
    <m/>
    <m/>
    <m/>
    <m/>
    <m/>
    <m/>
    <m/>
    <m/>
    <m/>
    <n v="44"/>
    <m/>
    <n v="3.2954545454545454"/>
    <m/>
    <m/>
  </r>
  <r>
    <d v="2006-10-10T00:00:00"/>
    <s v="Boomerang"/>
    <n v="2"/>
    <x v="2"/>
    <s v="Pannes Cleared"/>
    <x v="8"/>
    <x v="1"/>
    <n v="306"/>
    <m/>
    <m/>
    <m/>
    <m/>
    <m/>
    <m/>
    <m/>
    <m/>
    <m/>
    <m/>
    <m/>
    <m/>
    <m/>
    <m/>
    <m/>
    <m/>
    <m/>
    <m/>
    <m/>
    <m/>
    <m/>
    <m/>
    <m/>
    <m/>
    <m/>
    <m/>
    <m/>
    <n v="306"/>
    <m/>
    <n v="1.9934640522875817"/>
    <m/>
    <m/>
  </r>
  <r>
    <d v="2006-10-10T00:00:00"/>
    <s v="Jelly Bean"/>
    <n v="23"/>
    <x v="3"/>
    <s v="Pannes Cleared"/>
    <x v="8"/>
    <x v="1"/>
    <n v="278"/>
    <m/>
    <m/>
    <m/>
    <m/>
    <m/>
    <m/>
    <m/>
    <m/>
    <m/>
    <m/>
    <m/>
    <m/>
    <m/>
    <m/>
    <m/>
    <m/>
    <m/>
    <m/>
    <m/>
    <m/>
    <m/>
    <m/>
    <m/>
    <m/>
    <m/>
    <m/>
    <m/>
    <n v="278"/>
    <m/>
    <n v="2.8597122302158273"/>
    <m/>
    <m/>
  </r>
  <r>
    <d v="2006-10-11T00:00:00"/>
    <s v="Trap 2.5"/>
    <n v="24"/>
    <x v="0"/>
    <s v="Reference"/>
    <x v="8"/>
    <x v="1"/>
    <n v="73"/>
    <m/>
    <m/>
    <m/>
    <m/>
    <m/>
    <m/>
    <m/>
    <m/>
    <m/>
    <m/>
    <m/>
    <m/>
    <m/>
    <m/>
    <m/>
    <m/>
    <m/>
    <m/>
    <m/>
    <m/>
    <m/>
    <m/>
    <m/>
    <n v="1"/>
    <m/>
    <m/>
    <m/>
    <n v="74"/>
    <m/>
    <n v="1.9178082191780821"/>
    <m/>
    <m/>
  </r>
  <r>
    <d v="2006-10-11T00:00:00"/>
    <s v="Divergent"/>
    <n v="24"/>
    <x v="2"/>
    <s v="Pannes Cleared"/>
    <x v="8"/>
    <x v="1"/>
    <n v="46"/>
    <m/>
    <m/>
    <m/>
    <m/>
    <m/>
    <m/>
    <m/>
    <m/>
    <m/>
    <m/>
    <m/>
    <m/>
    <m/>
    <m/>
    <m/>
    <m/>
    <m/>
    <m/>
    <m/>
    <m/>
    <m/>
    <m/>
    <m/>
    <m/>
    <m/>
    <m/>
    <m/>
    <n v="46"/>
    <m/>
    <n v="3.8043478260869565"/>
    <m/>
    <m/>
  </r>
  <r>
    <d v="2006-10-11T00:00:00"/>
    <s v="Boomerang"/>
    <n v="22"/>
    <x v="2"/>
    <s v="Pannes Cleared"/>
    <x v="8"/>
    <x v="1"/>
    <n v="328"/>
    <m/>
    <m/>
    <m/>
    <m/>
    <m/>
    <m/>
    <m/>
    <m/>
    <m/>
    <m/>
    <m/>
    <m/>
    <m/>
    <m/>
    <m/>
    <m/>
    <m/>
    <m/>
    <m/>
    <m/>
    <m/>
    <m/>
    <m/>
    <m/>
    <m/>
    <m/>
    <m/>
    <n v="328"/>
    <m/>
    <n v="2.0731707317073171"/>
    <m/>
    <m/>
  </r>
  <r>
    <d v="2006-10-11T00:00:00"/>
    <s v="Jelly Bean"/>
    <n v="24"/>
    <x v="3"/>
    <s v="Pannes Cleared"/>
    <x v="8"/>
    <x v="1"/>
    <n v="339"/>
    <m/>
    <m/>
    <m/>
    <m/>
    <m/>
    <m/>
    <m/>
    <m/>
    <m/>
    <m/>
    <m/>
    <m/>
    <m/>
    <m/>
    <m/>
    <m/>
    <m/>
    <m/>
    <m/>
    <m/>
    <m/>
    <m/>
    <m/>
    <m/>
    <m/>
    <m/>
    <m/>
    <n v="339"/>
    <m/>
    <n v="2.5073746312684366"/>
    <m/>
    <m/>
  </r>
  <r>
    <d v="2006-10-13T00:00:00"/>
    <s v="Trap 2"/>
    <n v="22"/>
    <x v="0"/>
    <s v="Reference"/>
    <x v="8"/>
    <x v="1"/>
    <n v="404"/>
    <m/>
    <m/>
    <m/>
    <m/>
    <m/>
    <m/>
    <m/>
    <m/>
    <m/>
    <m/>
    <m/>
    <m/>
    <m/>
    <m/>
    <m/>
    <m/>
    <n v="2"/>
    <m/>
    <m/>
    <m/>
    <m/>
    <m/>
    <m/>
    <m/>
    <m/>
    <m/>
    <m/>
    <n v="406"/>
    <m/>
    <n v="2.9257425742574257"/>
    <m/>
    <m/>
  </r>
  <r>
    <d v="2006-10-13T00:00:00"/>
    <s v="Divergent"/>
    <n v="22"/>
    <x v="2"/>
    <s v="Pannes Cleared"/>
    <x v="8"/>
    <x v="1"/>
    <n v="34"/>
    <m/>
    <m/>
    <m/>
    <m/>
    <m/>
    <m/>
    <m/>
    <m/>
    <m/>
    <m/>
    <m/>
    <m/>
    <m/>
    <m/>
    <m/>
    <m/>
    <m/>
    <m/>
    <m/>
    <m/>
    <m/>
    <m/>
    <m/>
    <m/>
    <m/>
    <m/>
    <m/>
    <n v="34"/>
    <m/>
    <n v="2.9411764705882355"/>
    <m/>
    <m/>
  </r>
  <r>
    <d v="2006-10-13T00:00:00"/>
    <s v="Boomerang"/>
    <n v="22"/>
    <x v="2"/>
    <s v="Pannes Cleared"/>
    <x v="8"/>
    <x v="1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</r>
  <r>
    <d v="2006-10-13T00:00:00"/>
    <s v="Jelly Bean"/>
    <n v="22"/>
    <x v="3"/>
    <s v="Pannes Cleared"/>
    <x v="8"/>
    <x v="1"/>
    <n v="209"/>
    <m/>
    <m/>
    <m/>
    <m/>
    <m/>
    <m/>
    <m/>
    <m/>
    <m/>
    <m/>
    <m/>
    <m/>
    <m/>
    <m/>
    <m/>
    <m/>
    <m/>
    <m/>
    <m/>
    <m/>
    <m/>
    <m/>
    <m/>
    <m/>
    <m/>
    <m/>
    <m/>
    <n v="209"/>
    <m/>
    <n v="2.8708133971291865"/>
    <m/>
    <m/>
  </r>
  <r>
    <d v="2007-10-02T00:00:00"/>
    <s v="Trap 1"/>
    <n v="24"/>
    <x v="0"/>
    <s v="Reference"/>
    <x v="9"/>
    <x v="1"/>
    <n v="97"/>
    <m/>
    <m/>
    <m/>
    <m/>
    <m/>
    <m/>
    <m/>
    <m/>
    <m/>
    <m/>
    <m/>
    <m/>
    <m/>
    <n v="1"/>
    <m/>
    <m/>
    <m/>
    <m/>
    <m/>
    <m/>
    <m/>
    <m/>
    <m/>
    <m/>
    <m/>
    <m/>
    <m/>
    <n v="98"/>
    <n v="2"/>
    <n v="2.5773195876288661"/>
    <m/>
    <m/>
  </r>
  <r>
    <d v="2007-10-02T00:00:00"/>
    <s v="Trap 3"/>
    <n v="24"/>
    <x v="1"/>
    <s v="Restricted"/>
    <x v="9"/>
    <x v="1"/>
    <n v="1"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n v="2.5"/>
    <m/>
    <m/>
  </r>
  <r>
    <d v="2007-10-02T00:00:00"/>
    <s v="Boomerang"/>
    <n v="24"/>
    <x v="2"/>
    <s v="Wrack Left Year 1"/>
    <x v="9"/>
    <x v="1"/>
    <n v="112"/>
    <m/>
    <m/>
    <m/>
    <m/>
    <m/>
    <m/>
    <m/>
    <m/>
    <m/>
    <m/>
    <m/>
    <m/>
    <m/>
    <m/>
    <m/>
    <m/>
    <m/>
    <m/>
    <m/>
    <m/>
    <m/>
    <m/>
    <m/>
    <m/>
    <m/>
    <m/>
    <m/>
    <n v="112"/>
    <n v="1"/>
    <n v="2.4553571428571428"/>
    <m/>
    <m/>
  </r>
  <r>
    <d v="2007-10-02T00:00:00"/>
    <s v="Doughnut Hole"/>
    <n v="24"/>
    <x v="2"/>
    <s v="Wrack Left Year 1"/>
    <x v="9"/>
    <x v="1"/>
    <n v="133"/>
    <m/>
    <m/>
    <m/>
    <m/>
    <m/>
    <m/>
    <m/>
    <m/>
    <m/>
    <m/>
    <m/>
    <m/>
    <m/>
    <m/>
    <m/>
    <m/>
    <n v="1"/>
    <m/>
    <m/>
    <m/>
    <m/>
    <m/>
    <m/>
    <m/>
    <m/>
    <m/>
    <m/>
    <n v="134"/>
    <n v="2"/>
    <n v="3.1578947368421053"/>
    <m/>
    <m/>
  </r>
  <r>
    <d v="2007-10-03T00:00:00"/>
    <s v="Trap 1"/>
    <n v="24"/>
    <x v="0"/>
    <s v="Reference"/>
    <x v="9"/>
    <x v="1"/>
    <n v="96"/>
    <m/>
    <m/>
    <m/>
    <m/>
    <m/>
    <m/>
    <m/>
    <m/>
    <m/>
    <m/>
    <m/>
    <m/>
    <m/>
    <m/>
    <m/>
    <m/>
    <m/>
    <m/>
    <m/>
    <m/>
    <m/>
    <m/>
    <m/>
    <m/>
    <m/>
    <m/>
    <m/>
    <n v="96"/>
    <n v="1"/>
    <n v="2.1354166666666665"/>
    <m/>
    <m/>
  </r>
  <r>
    <d v="2007-10-03T00:00:00"/>
    <s v="Trap 3"/>
    <n v="24"/>
    <x v="1"/>
    <s v="Restricted"/>
    <x v="9"/>
    <x v="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</r>
  <r>
    <d v="2007-10-03T00:00:00"/>
    <s v="Boomerang"/>
    <n v="24"/>
    <x v="2"/>
    <s v="Wrack Left Year 1"/>
    <x v="9"/>
    <x v="1"/>
    <n v="88"/>
    <m/>
    <m/>
    <m/>
    <m/>
    <m/>
    <m/>
    <m/>
    <m/>
    <m/>
    <m/>
    <m/>
    <m/>
    <m/>
    <m/>
    <m/>
    <m/>
    <m/>
    <m/>
    <m/>
    <m/>
    <m/>
    <m/>
    <m/>
    <m/>
    <m/>
    <m/>
    <m/>
    <n v="88"/>
    <n v="1"/>
    <n v="1.6477272727272727"/>
    <m/>
    <m/>
  </r>
  <r>
    <d v="2007-10-03T00:00:00"/>
    <s v="Doughnut Hole"/>
    <n v="24"/>
    <x v="2"/>
    <s v="Wrack Left Year 1"/>
    <x v="9"/>
    <x v="1"/>
    <n v="172"/>
    <m/>
    <m/>
    <m/>
    <m/>
    <m/>
    <m/>
    <m/>
    <m/>
    <m/>
    <m/>
    <m/>
    <m/>
    <m/>
    <m/>
    <m/>
    <m/>
    <m/>
    <m/>
    <m/>
    <m/>
    <m/>
    <m/>
    <m/>
    <m/>
    <m/>
    <m/>
    <m/>
    <n v="172"/>
    <n v="1"/>
    <n v="1.7441860465116279"/>
    <m/>
    <m/>
  </r>
  <r>
    <d v="2007-10-05T00:00:00"/>
    <s v="Trap 2"/>
    <n v="24"/>
    <x v="0"/>
    <s v="Wrack Left Year 1"/>
    <x v="9"/>
    <x v="1"/>
    <n v="70"/>
    <m/>
    <m/>
    <m/>
    <m/>
    <m/>
    <m/>
    <m/>
    <m/>
    <m/>
    <m/>
    <n v="1"/>
    <m/>
    <m/>
    <m/>
    <m/>
    <m/>
    <n v="2"/>
    <m/>
    <m/>
    <m/>
    <m/>
    <m/>
    <m/>
    <m/>
    <m/>
    <m/>
    <m/>
    <n v="73"/>
    <n v="3"/>
    <n v="2.7142857142857144"/>
    <m/>
    <m/>
  </r>
  <r>
    <d v="2007-10-05T00:00:00"/>
    <s v="Trap 3"/>
    <n v="24"/>
    <x v="1"/>
    <s v="Restricted"/>
    <x v="9"/>
    <x v="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</r>
  <r>
    <d v="2007-10-05T00:00:00"/>
    <s v="Boomerang"/>
    <n v="24"/>
    <x v="2"/>
    <s v="Wrack Left Year 1"/>
    <x v="9"/>
    <x v="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</r>
  <r>
    <d v="2007-10-05T00:00:00"/>
    <s v="Doughnut Hole"/>
    <n v="24"/>
    <x v="2"/>
    <s v="Wrack Left Year 1"/>
    <x v="9"/>
    <x v="1"/>
    <n v="8"/>
    <m/>
    <m/>
    <m/>
    <m/>
    <m/>
    <m/>
    <m/>
    <m/>
    <m/>
    <m/>
    <m/>
    <m/>
    <m/>
    <m/>
    <m/>
    <m/>
    <n v="1"/>
    <m/>
    <m/>
    <m/>
    <m/>
    <m/>
    <m/>
    <m/>
    <m/>
    <m/>
    <m/>
    <n v="9"/>
    <n v="2"/>
    <n v="1.875"/>
    <m/>
    <m/>
  </r>
  <r>
    <d v="2008-10-06T00:00:00"/>
    <s v="Trap 2"/>
    <n v="21"/>
    <x v="0"/>
    <s v="Reference"/>
    <x v="10"/>
    <x v="1"/>
    <n v="116"/>
    <m/>
    <m/>
    <m/>
    <m/>
    <m/>
    <m/>
    <m/>
    <m/>
    <m/>
    <m/>
    <m/>
    <m/>
    <m/>
    <m/>
    <m/>
    <m/>
    <m/>
    <m/>
    <m/>
    <m/>
    <m/>
    <m/>
    <m/>
    <m/>
    <m/>
    <m/>
    <m/>
    <n v="116"/>
    <n v="1"/>
    <n v="1.5517241379310345"/>
    <m/>
    <m/>
  </r>
  <r>
    <d v="2008-10-06T00:00:00"/>
    <s v="Trap 3"/>
    <n v="21"/>
    <x v="1"/>
    <s v="Restricted"/>
    <x v="10"/>
    <x v="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</r>
  <r>
    <d v="2008-10-06T00:00:00"/>
    <s v="Boomerang"/>
    <n v="21"/>
    <x v="2"/>
    <s v="Wrack Left Year 2"/>
    <x v="10"/>
    <x v="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</r>
  <r>
    <d v="2008-10-06T00:00:00"/>
    <s v="Divergent"/>
    <n v="21"/>
    <x v="2"/>
    <s v="Wrack Left Year 2"/>
    <x v="10"/>
    <x v="1"/>
    <n v="103"/>
    <m/>
    <m/>
    <m/>
    <m/>
    <m/>
    <m/>
    <m/>
    <m/>
    <m/>
    <m/>
    <m/>
    <m/>
    <m/>
    <m/>
    <m/>
    <m/>
    <m/>
    <m/>
    <m/>
    <m/>
    <m/>
    <m/>
    <m/>
    <m/>
    <m/>
    <m/>
    <m/>
    <n v="103"/>
    <n v="1"/>
    <n v="1.6504854368932038"/>
    <m/>
    <m/>
  </r>
  <r>
    <d v="2008-10-07T00:00:00"/>
    <s v="Trap 2"/>
    <n v="24.5"/>
    <x v="0"/>
    <s v="Reference"/>
    <x v="10"/>
    <x v="1"/>
    <n v="31"/>
    <m/>
    <m/>
    <m/>
    <m/>
    <m/>
    <m/>
    <m/>
    <m/>
    <m/>
    <m/>
    <m/>
    <m/>
    <m/>
    <m/>
    <m/>
    <m/>
    <m/>
    <m/>
    <m/>
    <m/>
    <m/>
    <m/>
    <m/>
    <m/>
    <m/>
    <m/>
    <m/>
    <n v="31"/>
    <n v="1"/>
    <n v="1.2903225806451613"/>
    <m/>
    <m/>
  </r>
  <r>
    <d v="2008-10-07T00:00:00"/>
    <s v="Trap 3"/>
    <n v="24.5"/>
    <x v="1"/>
    <s v="Restricted"/>
    <x v="10"/>
    <x v="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</r>
  <r>
    <d v="2008-10-07T00:00:00"/>
    <s v="Boomerang"/>
    <n v="24.5"/>
    <x v="2"/>
    <s v="Wrack Left Year 2"/>
    <x v="10"/>
    <x v="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</r>
  <r>
    <d v="2008-10-07T00:00:00"/>
    <s v="Divergent"/>
    <n v="24.5"/>
    <x v="2"/>
    <s v="Wrack Left Year 2"/>
    <x v="10"/>
    <x v="1"/>
    <n v="14"/>
    <m/>
    <m/>
    <m/>
    <m/>
    <m/>
    <m/>
    <m/>
    <m/>
    <m/>
    <m/>
    <m/>
    <m/>
    <m/>
    <m/>
    <m/>
    <m/>
    <m/>
    <m/>
    <m/>
    <m/>
    <m/>
    <m/>
    <m/>
    <m/>
    <m/>
    <m/>
    <m/>
    <n v="14"/>
    <n v="1"/>
    <n v="1.4285714285714286"/>
    <m/>
    <m/>
  </r>
  <r>
    <d v="2008-10-08T00:00:00"/>
    <s v="Trap 2"/>
    <n v="24"/>
    <x v="0"/>
    <s v="Reference"/>
    <x v="10"/>
    <x v="1"/>
    <n v="53"/>
    <m/>
    <m/>
    <m/>
    <m/>
    <m/>
    <m/>
    <m/>
    <m/>
    <m/>
    <n v="1"/>
    <m/>
    <m/>
    <m/>
    <m/>
    <m/>
    <m/>
    <m/>
    <m/>
    <m/>
    <m/>
    <m/>
    <m/>
    <m/>
    <m/>
    <m/>
    <m/>
    <m/>
    <n v="54"/>
    <n v="2"/>
    <n v="1.4150943396226414"/>
    <m/>
    <m/>
  </r>
  <r>
    <d v="2008-10-08T00:00:00"/>
    <s v="Trap 3"/>
    <n v="24"/>
    <x v="1"/>
    <s v="Restricted"/>
    <x v="10"/>
    <x v="1"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n v="1"/>
    <m/>
    <m/>
    <m/>
  </r>
  <r>
    <d v="2008-10-08T00:00:00"/>
    <s v="Boomerang"/>
    <n v="24"/>
    <x v="2"/>
    <s v="Wrack Left Year 2"/>
    <x v="10"/>
    <x v="1"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m/>
    <m/>
    <m/>
  </r>
  <r>
    <d v="2008-10-08T00:00:00"/>
    <s v="Divergent"/>
    <n v="24"/>
    <x v="2"/>
    <s v="Wrack Left Year 2"/>
    <x v="10"/>
    <x v="1"/>
    <n v="14"/>
    <m/>
    <m/>
    <m/>
    <m/>
    <m/>
    <m/>
    <m/>
    <m/>
    <m/>
    <m/>
    <m/>
    <m/>
    <m/>
    <m/>
    <m/>
    <m/>
    <m/>
    <m/>
    <m/>
    <m/>
    <m/>
    <m/>
    <m/>
    <m/>
    <m/>
    <m/>
    <m/>
    <n v="14"/>
    <n v="1"/>
    <n v="1.0714285714285714"/>
    <m/>
    <m/>
  </r>
  <r>
    <d v="2008-10-08T00:00:00"/>
    <s v="Doughnut Hole"/>
    <n v="19.5"/>
    <x v="2"/>
    <s v="Wrack Left Year 2"/>
    <x v="10"/>
    <x v="1"/>
    <m/>
    <m/>
    <m/>
    <n v="1"/>
    <m/>
    <m/>
    <m/>
    <m/>
    <m/>
    <m/>
    <m/>
    <m/>
    <m/>
    <m/>
    <m/>
    <m/>
    <m/>
    <m/>
    <m/>
    <m/>
    <m/>
    <m/>
    <m/>
    <m/>
    <m/>
    <m/>
    <m/>
    <m/>
    <n v="1"/>
    <n v="1"/>
    <m/>
    <m/>
    <m/>
  </r>
  <r>
    <d v="2008-10-09T00:00:00"/>
    <s v="Trap 2"/>
    <n v="24"/>
    <x v="0"/>
    <s v="Reference"/>
    <x v="10"/>
    <x v="1"/>
    <n v="42"/>
    <m/>
    <m/>
    <m/>
    <m/>
    <m/>
    <m/>
    <m/>
    <m/>
    <m/>
    <m/>
    <m/>
    <m/>
    <m/>
    <m/>
    <m/>
    <m/>
    <m/>
    <m/>
    <m/>
    <m/>
    <m/>
    <m/>
    <m/>
    <m/>
    <m/>
    <m/>
    <m/>
    <n v="42"/>
    <n v="1"/>
    <n v="1.7857142857142858"/>
    <m/>
    <m/>
  </r>
  <r>
    <d v="2008-10-09T00:00:00"/>
    <s v="Boomerang"/>
    <n v="24"/>
    <x v="2"/>
    <s v="Wrack Left Year 2"/>
    <x v="10"/>
    <x v="1"/>
    <m/>
    <m/>
    <m/>
    <n v="2"/>
    <m/>
    <m/>
    <m/>
    <m/>
    <m/>
    <m/>
    <m/>
    <m/>
    <m/>
    <m/>
    <m/>
    <m/>
    <m/>
    <m/>
    <m/>
    <m/>
    <m/>
    <m/>
    <m/>
    <m/>
    <m/>
    <m/>
    <m/>
    <m/>
    <n v="2"/>
    <m/>
    <m/>
    <m/>
    <m/>
  </r>
  <r>
    <d v="2008-10-09T00:00:00"/>
    <s v="Divergent"/>
    <n v="24"/>
    <x v="2"/>
    <s v="Wrack Left Year 2"/>
    <x v="10"/>
    <x v="1"/>
    <n v="15"/>
    <m/>
    <m/>
    <s v=" "/>
    <m/>
    <m/>
    <m/>
    <m/>
    <m/>
    <m/>
    <m/>
    <m/>
    <m/>
    <m/>
    <m/>
    <m/>
    <m/>
    <m/>
    <m/>
    <m/>
    <m/>
    <m/>
    <m/>
    <m/>
    <m/>
    <m/>
    <m/>
    <m/>
    <n v="15"/>
    <n v="1"/>
    <n v="1.6666666666666667"/>
    <m/>
    <m/>
  </r>
  <r>
    <d v="2008-10-09T00:00:00"/>
    <s v="Doughnut Hole"/>
    <n v="24"/>
    <x v="2"/>
    <s v="Wrack Left Year 2"/>
    <x v="10"/>
    <x v="1"/>
    <m/>
    <m/>
    <m/>
    <n v="6"/>
    <m/>
    <m/>
    <m/>
    <m/>
    <m/>
    <m/>
    <m/>
    <m/>
    <m/>
    <m/>
    <m/>
    <m/>
    <m/>
    <m/>
    <m/>
    <m/>
    <m/>
    <m/>
    <m/>
    <m/>
    <n v="2"/>
    <m/>
    <m/>
    <m/>
    <n v="8"/>
    <n v="2"/>
    <m/>
    <m/>
    <m/>
  </r>
  <r>
    <d v="2008-11-13T00:00:00"/>
    <s v="Trap 2"/>
    <n v="22"/>
    <x v="0"/>
    <s v="Reference"/>
    <x v="10"/>
    <x v="1"/>
    <n v="1"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n v="2.5"/>
    <m/>
    <m/>
  </r>
  <r>
    <d v="2008-11-13T00:00:00"/>
    <s v="Boomerang"/>
    <n v="20.5"/>
    <x v="2"/>
    <s v="Wrack Left Year 2"/>
    <x v="10"/>
    <x v="1"/>
    <n v="1"/>
    <m/>
    <m/>
    <m/>
    <m/>
    <m/>
    <m/>
    <m/>
    <m/>
    <m/>
    <m/>
    <m/>
    <m/>
    <m/>
    <m/>
    <m/>
    <m/>
    <m/>
    <m/>
    <m/>
    <m/>
    <m/>
    <m/>
    <m/>
    <m/>
    <m/>
    <m/>
    <m/>
    <n v="1"/>
    <n v="1"/>
    <n v="2"/>
    <m/>
    <m/>
  </r>
  <r>
    <d v="2008-11-13T00:00:00"/>
    <s v="Doughnut Hole"/>
    <n v="1"/>
    <x v="2"/>
    <s v="Wrack Left Year 2"/>
    <x v="10"/>
    <x v="1"/>
    <n v="15"/>
    <m/>
    <m/>
    <m/>
    <m/>
    <m/>
    <m/>
    <m/>
    <m/>
    <m/>
    <m/>
    <m/>
    <m/>
    <m/>
    <m/>
    <m/>
    <m/>
    <m/>
    <m/>
    <m/>
    <m/>
    <m/>
    <m/>
    <m/>
    <m/>
    <m/>
    <m/>
    <m/>
    <n v="20"/>
    <n v="1"/>
    <n v="1.3333333333333333"/>
    <m/>
    <m/>
  </r>
  <r>
    <d v="2009-10-05T00:00:00"/>
    <s v="Trap 2"/>
    <n v="14.5"/>
    <x v="0"/>
    <s v="Reference"/>
    <x v="11"/>
    <x v="1"/>
    <n v="56"/>
    <m/>
    <m/>
    <m/>
    <m/>
    <m/>
    <m/>
    <m/>
    <m/>
    <m/>
    <m/>
    <m/>
    <m/>
    <m/>
    <m/>
    <m/>
    <m/>
    <n v="1"/>
    <m/>
    <m/>
    <m/>
    <m/>
    <m/>
    <m/>
    <m/>
    <m/>
    <m/>
    <m/>
    <n v="57"/>
    <n v="2"/>
    <n v="4.375"/>
    <m/>
    <n v="10"/>
  </r>
  <r>
    <d v="2009-10-05T00:00:00"/>
    <s v="Trap 3"/>
    <n v="14.5"/>
    <x v="1"/>
    <s v="Restricted"/>
    <x v="11"/>
    <x v="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</r>
  <r>
    <d v="2009-10-05T00:00:00"/>
    <s v="Boomerang"/>
    <n v="14.5"/>
    <x v="2"/>
    <s v="Wrack Left Year 3"/>
    <x v="11"/>
    <x v="1"/>
    <n v="47"/>
    <m/>
    <m/>
    <m/>
    <m/>
    <m/>
    <m/>
    <m/>
    <m/>
    <m/>
    <m/>
    <m/>
    <m/>
    <m/>
    <m/>
    <m/>
    <m/>
    <m/>
    <m/>
    <m/>
    <m/>
    <m/>
    <m/>
    <m/>
    <n v="1"/>
    <m/>
    <m/>
    <m/>
    <n v="48"/>
    <n v="2"/>
    <n v="2.8085106382978724"/>
    <m/>
    <m/>
  </r>
  <r>
    <d v="2009-10-05T00:00:00"/>
    <s v="Doughnut Hole"/>
    <n v="14.5"/>
    <x v="2"/>
    <s v="Wrack Left Year 3"/>
    <x v="11"/>
    <x v="1"/>
    <n v="196"/>
    <m/>
    <m/>
    <m/>
    <m/>
    <m/>
    <m/>
    <m/>
    <m/>
    <m/>
    <m/>
    <m/>
    <m/>
    <m/>
    <m/>
    <m/>
    <m/>
    <m/>
    <m/>
    <m/>
    <m/>
    <m/>
    <m/>
    <m/>
    <m/>
    <m/>
    <m/>
    <m/>
    <n v="196"/>
    <n v="1"/>
    <n v="2.0306122448979593"/>
    <m/>
    <m/>
  </r>
  <r>
    <d v="2009-10-06T00:00:00"/>
    <s v="Trap 2"/>
    <n v="24"/>
    <x v="0"/>
    <s v="Reference"/>
    <x v="11"/>
    <x v="1"/>
    <n v="78"/>
    <m/>
    <m/>
    <m/>
    <m/>
    <m/>
    <m/>
    <m/>
    <m/>
    <m/>
    <m/>
    <m/>
    <m/>
    <m/>
    <m/>
    <m/>
    <n v="1"/>
    <n v="3"/>
    <m/>
    <m/>
    <m/>
    <m/>
    <m/>
    <m/>
    <m/>
    <m/>
    <m/>
    <m/>
    <n v="82"/>
    <n v="3"/>
    <n v="2.6282051282051282"/>
    <m/>
    <n v="11.666666666666666"/>
  </r>
  <r>
    <d v="2009-10-06T00:00:00"/>
    <s v="Trap 3"/>
    <n v="24"/>
    <x v="1"/>
    <s v="Restricted"/>
    <x v="11"/>
    <x v="1"/>
    <n v="60"/>
    <m/>
    <m/>
    <m/>
    <m/>
    <m/>
    <m/>
    <m/>
    <m/>
    <m/>
    <m/>
    <m/>
    <m/>
    <m/>
    <m/>
    <m/>
    <m/>
    <m/>
    <m/>
    <m/>
    <m/>
    <m/>
    <m/>
    <m/>
    <m/>
    <m/>
    <m/>
    <m/>
    <n v="60"/>
    <n v="1"/>
    <n v="1.9166666666666667"/>
    <m/>
    <m/>
  </r>
  <r>
    <d v="2009-10-06T00:00:00"/>
    <s v="Boomerang"/>
    <n v="24"/>
    <x v="2"/>
    <s v="Wrack Left Year 3"/>
    <x v="11"/>
    <x v="1"/>
    <n v="68"/>
    <m/>
    <m/>
    <m/>
    <m/>
    <m/>
    <m/>
    <m/>
    <m/>
    <m/>
    <m/>
    <m/>
    <m/>
    <m/>
    <m/>
    <m/>
    <m/>
    <m/>
    <m/>
    <m/>
    <m/>
    <m/>
    <m/>
    <m/>
    <m/>
    <m/>
    <m/>
    <m/>
    <n v="68"/>
    <n v="1"/>
    <n v="2.1323529411764706"/>
    <m/>
    <m/>
  </r>
  <r>
    <d v="2009-10-06T00:00:00"/>
    <s v="Doughnut Hole"/>
    <n v="24"/>
    <x v="2"/>
    <s v="Wrack Left Year 3"/>
    <x v="11"/>
    <x v="1"/>
    <n v="203"/>
    <m/>
    <m/>
    <m/>
    <m/>
    <m/>
    <m/>
    <m/>
    <m/>
    <m/>
    <m/>
    <m/>
    <m/>
    <m/>
    <m/>
    <m/>
    <m/>
    <m/>
    <m/>
    <m/>
    <m/>
    <m/>
    <m/>
    <m/>
    <m/>
    <m/>
    <m/>
    <m/>
    <n v="203"/>
    <n v="1"/>
    <n v="1.7241379310344827"/>
    <m/>
    <m/>
  </r>
  <r>
    <d v="2009-10-14T00:00:00"/>
    <s v="Trap 2"/>
    <n v="16"/>
    <x v="0"/>
    <s v="Reference"/>
    <x v="11"/>
    <x v="1"/>
    <n v="67"/>
    <m/>
    <m/>
    <m/>
    <m/>
    <m/>
    <m/>
    <m/>
    <m/>
    <m/>
    <m/>
    <m/>
    <m/>
    <m/>
    <m/>
    <m/>
    <m/>
    <m/>
    <m/>
    <m/>
    <m/>
    <m/>
    <m/>
    <m/>
    <m/>
    <m/>
    <m/>
    <m/>
    <n v="67"/>
    <n v="1"/>
    <n v="1.8656716417910448"/>
    <m/>
    <m/>
  </r>
  <r>
    <d v="2009-10-14T00:00:00"/>
    <s v="Trap 3"/>
    <n v="16"/>
    <x v="1"/>
    <s v="Restricted"/>
    <x v="11"/>
    <x v="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</r>
  <r>
    <d v="2009-10-14T00:00:00"/>
    <s v="Boomerang"/>
    <n v="16"/>
    <x v="2"/>
    <s v="Wrack Left Year 3"/>
    <x v="11"/>
    <x v="1"/>
    <n v="3"/>
    <m/>
    <m/>
    <m/>
    <m/>
    <m/>
    <m/>
    <m/>
    <m/>
    <m/>
    <m/>
    <m/>
    <m/>
    <m/>
    <m/>
    <m/>
    <m/>
    <m/>
    <m/>
    <m/>
    <m/>
    <m/>
    <m/>
    <m/>
    <m/>
    <n v="1"/>
    <m/>
    <m/>
    <n v="4"/>
    <n v="2"/>
    <n v="1.1666666666666667"/>
    <m/>
    <m/>
  </r>
  <r>
    <d v="2009-10-14T00:00:00"/>
    <s v="Doughnut Hole"/>
    <n v="16"/>
    <x v="2"/>
    <s v="Wrack Left Year 3"/>
    <x v="11"/>
    <x v="1"/>
    <n v="23"/>
    <m/>
    <m/>
    <m/>
    <m/>
    <m/>
    <m/>
    <m/>
    <m/>
    <m/>
    <m/>
    <m/>
    <m/>
    <m/>
    <m/>
    <m/>
    <m/>
    <m/>
    <m/>
    <m/>
    <m/>
    <m/>
    <m/>
    <m/>
    <m/>
    <m/>
    <m/>
    <m/>
    <n v="23"/>
    <n v="1"/>
    <n v="2.1739130434782608"/>
    <m/>
    <m/>
  </r>
  <r>
    <d v="2009-10-15T00:00:00"/>
    <s v="Trap 2"/>
    <n v="24"/>
    <x v="0"/>
    <s v="Reference"/>
    <x v="11"/>
    <x v="1"/>
    <n v="24"/>
    <m/>
    <m/>
    <m/>
    <m/>
    <m/>
    <m/>
    <m/>
    <m/>
    <m/>
    <m/>
    <m/>
    <m/>
    <m/>
    <n v="2"/>
    <m/>
    <m/>
    <m/>
    <m/>
    <m/>
    <m/>
    <m/>
    <m/>
    <m/>
    <m/>
    <m/>
    <m/>
    <m/>
    <n v="26"/>
    <n v="2"/>
    <n v="3.5416666666666665"/>
    <m/>
    <m/>
  </r>
  <r>
    <d v="2009-10-15T00:00:00"/>
    <s v="Trap 3"/>
    <n v="24"/>
    <x v="1"/>
    <s v="Restricted"/>
    <x v="11"/>
    <x v="1"/>
    <n v="2"/>
    <m/>
    <m/>
    <m/>
    <m/>
    <m/>
    <m/>
    <m/>
    <m/>
    <m/>
    <m/>
    <m/>
    <m/>
    <m/>
    <m/>
    <m/>
    <m/>
    <m/>
    <m/>
    <m/>
    <m/>
    <m/>
    <m/>
    <m/>
    <m/>
    <m/>
    <m/>
    <m/>
    <n v="2"/>
    <n v="1"/>
    <n v="3"/>
    <m/>
    <m/>
  </r>
  <r>
    <d v="2009-10-15T00:00:00"/>
    <s v="Boomerang"/>
    <n v="24"/>
    <x v="2"/>
    <s v="Wrack Left Year 3"/>
    <x v="11"/>
    <x v="1"/>
    <n v="47"/>
    <m/>
    <m/>
    <m/>
    <m/>
    <m/>
    <m/>
    <m/>
    <m/>
    <m/>
    <m/>
    <n v="1"/>
    <m/>
    <m/>
    <m/>
    <m/>
    <m/>
    <m/>
    <m/>
    <m/>
    <m/>
    <m/>
    <m/>
    <m/>
    <m/>
    <m/>
    <m/>
    <m/>
    <n v="48"/>
    <n v="2"/>
    <n v="1.7021276595744681"/>
    <n v="10"/>
    <m/>
  </r>
  <r>
    <d v="2009-10-15T00:00:00"/>
    <s v="Doughnut Hole"/>
    <n v="24"/>
    <x v="2"/>
    <s v="Wrack Left Year 3"/>
    <x v="11"/>
    <x v="1"/>
    <n v="121"/>
    <m/>
    <m/>
    <m/>
    <m/>
    <m/>
    <m/>
    <m/>
    <m/>
    <m/>
    <m/>
    <m/>
    <m/>
    <m/>
    <m/>
    <m/>
    <m/>
    <m/>
    <m/>
    <m/>
    <m/>
    <m/>
    <m/>
    <m/>
    <m/>
    <m/>
    <m/>
    <m/>
    <n v="121"/>
    <n v="1"/>
    <n v="2.2727272727272729"/>
    <m/>
    <m/>
  </r>
  <r>
    <d v="2010-10-12T00:00:00"/>
    <s v="Trap 2"/>
    <n v="19.5"/>
    <x v="0"/>
    <s v="Reference"/>
    <x v="12"/>
    <x v="1"/>
    <n v="81"/>
    <m/>
    <m/>
    <m/>
    <m/>
    <m/>
    <m/>
    <m/>
    <m/>
    <m/>
    <m/>
    <m/>
    <m/>
    <m/>
    <n v="2"/>
    <m/>
    <m/>
    <n v="1"/>
    <m/>
    <m/>
    <m/>
    <m/>
    <m/>
    <m/>
    <m/>
    <n v="1"/>
    <m/>
    <m/>
    <n v="85"/>
    <n v="4"/>
    <n v="2.16"/>
    <m/>
    <n v="5"/>
  </r>
  <r>
    <d v="2010-10-12T00:00:00"/>
    <s v="Trap 3"/>
    <n v="19.5"/>
    <x v="1"/>
    <s v="Restored 1"/>
    <x v="12"/>
    <x v="1"/>
    <n v="216"/>
    <m/>
    <m/>
    <m/>
    <m/>
    <m/>
    <m/>
    <m/>
    <m/>
    <m/>
    <m/>
    <m/>
    <m/>
    <m/>
    <m/>
    <m/>
    <m/>
    <m/>
    <m/>
    <m/>
    <m/>
    <m/>
    <m/>
    <m/>
    <m/>
    <m/>
    <m/>
    <m/>
    <n v="216"/>
    <n v="1"/>
    <n v="1.8"/>
    <m/>
    <m/>
  </r>
  <r>
    <d v="2010-10-12T00:00:00"/>
    <s v="Boomerang"/>
    <n v="19.5"/>
    <x v="2"/>
    <s v="Wrack Left Year 3"/>
    <x v="12"/>
    <x v="1"/>
    <n v="89"/>
    <m/>
    <m/>
    <m/>
    <m/>
    <m/>
    <m/>
    <m/>
    <m/>
    <m/>
    <m/>
    <m/>
    <m/>
    <m/>
    <m/>
    <m/>
    <m/>
    <n v="2"/>
    <m/>
    <m/>
    <m/>
    <m/>
    <m/>
    <m/>
    <m/>
    <m/>
    <m/>
    <m/>
    <n v="91"/>
    <n v="2"/>
    <n v="1.8"/>
    <m/>
    <n v="2.5"/>
  </r>
  <r>
    <d v="2010-10-12T00:00:00"/>
    <s v="Divergent"/>
    <n v="19.5"/>
    <x v="2"/>
    <s v="Wrack Left Year 3"/>
    <x v="12"/>
    <x v="1"/>
    <n v="123"/>
    <m/>
    <m/>
    <m/>
    <m/>
    <m/>
    <m/>
    <m/>
    <m/>
    <m/>
    <m/>
    <m/>
    <m/>
    <m/>
    <m/>
    <m/>
    <m/>
    <m/>
    <m/>
    <m/>
    <m/>
    <m/>
    <m/>
    <m/>
    <m/>
    <m/>
    <m/>
    <m/>
    <n v="123"/>
    <m/>
    <n v="2"/>
    <m/>
    <m/>
  </r>
  <r>
    <d v="2010-10-13T00:00:00"/>
    <s v="Trap 2"/>
    <n v="19.5"/>
    <x v="0"/>
    <s v="Reference"/>
    <x v="12"/>
    <x v="1"/>
    <n v="106"/>
    <m/>
    <m/>
    <m/>
    <m/>
    <m/>
    <m/>
    <m/>
    <m/>
    <m/>
    <m/>
    <m/>
    <m/>
    <m/>
    <n v="1"/>
    <m/>
    <m/>
    <n v="1"/>
    <m/>
    <m/>
    <m/>
    <m/>
    <m/>
    <m/>
    <m/>
    <m/>
    <m/>
    <m/>
    <n v="108"/>
    <n v="3"/>
    <n v="2"/>
    <m/>
    <n v="1"/>
  </r>
  <r>
    <d v="2010-10-13T00:00:00"/>
    <s v="Trap 3"/>
    <n v="24"/>
    <x v="1"/>
    <s v="Restored 1"/>
    <x v="12"/>
    <x v="1"/>
    <n v="157"/>
    <m/>
    <m/>
    <m/>
    <m/>
    <m/>
    <m/>
    <m/>
    <m/>
    <m/>
    <m/>
    <m/>
    <m/>
    <m/>
    <m/>
    <m/>
    <m/>
    <m/>
    <m/>
    <m/>
    <m/>
    <m/>
    <m/>
    <m/>
    <m/>
    <m/>
    <m/>
    <m/>
    <n v="157"/>
    <n v="1"/>
    <n v="2"/>
    <m/>
    <m/>
  </r>
  <r>
    <d v="2010-10-13T00:00:00"/>
    <s v="Boomerang"/>
    <n v="24"/>
    <x v="2"/>
    <s v="Wrack Left Year 3"/>
    <x v="12"/>
    <x v="1"/>
    <n v="137"/>
    <m/>
    <m/>
    <m/>
    <m/>
    <m/>
    <m/>
    <m/>
    <m/>
    <m/>
    <m/>
    <m/>
    <m/>
    <m/>
    <m/>
    <m/>
    <m/>
    <m/>
    <m/>
    <m/>
    <m/>
    <m/>
    <m/>
    <m/>
    <m/>
    <m/>
    <m/>
    <m/>
    <n v="137"/>
    <n v="1"/>
    <n v="1.8"/>
    <m/>
    <m/>
  </r>
  <r>
    <d v="2010-10-13T00:00:00"/>
    <s v="Doughnut Hole"/>
    <n v="24"/>
    <x v="2"/>
    <s v="Wrack Left Year 3"/>
    <x v="12"/>
    <x v="1"/>
    <n v="29"/>
    <m/>
    <m/>
    <m/>
    <m/>
    <m/>
    <m/>
    <m/>
    <m/>
    <m/>
    <m/>
    <m/>
    <m/>
    <m/>
    <m/>
    <m/>
    <m/>
    <m/>
    <m/>
    <m/>
    <m/>
    <m/>
    <m/>
    <m/>
    <m/>
    <m/>
    <m/>
    <m/>
    <n v="29"/>
    <n v="1"/>
    <n v="2.4"/>
    <m/>
    <m/>
  </r>
  <r>
    <d v="2010-10-14T00:00:00"/>
    <s v="Trap 2"/>
    <n v="24"/>
    <x v="0"/>
    <s v="Reference"/>
    <x v="12"/>
    <x v="1"/>
    <n v="87"/>
    <m/>
    <m/>
    <m/>
    <m/>
    <m/>
    <m/>
    <m/>
    <m/>
    <m/>
    <m/>
    <m/>
    <m/>
    <m/>
    <n v="2"/>
    <m/>
    <m/>
    <m/>
    <m/>
    <m/>
    <m/>
    <m/>
    <m/>
    <m/>
    <m/>
    <m/>
    <m/>
    <m/>
    <n v="89"/>
    <n v="2"/>
    <n v="1.72"/>
    <m/>
    <m/>
  </r>
  <r>
    <d v="2010-10-14T00:00:00"/>
    <s v="Boomerang"/>
    <n v="24"/>
    <x v="1"/>
    <s v="Restored 1"/>
    <x v="12"/>
    <x v="1"/>
    <n v="39"/>
    <m/>
    <m/>
    <m/>
    <m/>
    <m/>
    <m/>
    <m/>
    <m/>
    <m/>
    <m/>
    <m/>
    <m/>
    <m/>
    <m/>
    <m/>
    <m/>
    <m/>
    <m/>
    <m/>
    <m/>
    <m/>
    <m/>
    <m/>
    <m/>
    <m/>
    <m/>
    <m/>
    <n v="39"/>
    <n v="1"/>
    <n v="1.54"/>
    <m/>
    <m/>
  </r>
  <r>
    <d v="2010-10-14T00:00:00"/>
    <s v="Doughnut Hole"/>
    <n v="24"/>
    <x v="2"/>
    <s v="Wrack Left Year 3"/>
    <x v="12"/>
    <x v="1"/>
    <n v="87"/>
    <m/>
    <m/>
    <m/>
    <m/>
    <m/>
    <m/>
    <m/>
    <m/>
    <m/>
    <m/>
    <m/>
    <m/>
    <m/>
    <n v="2"/>
    <m/>
    <m/>
    <m/>
    <m/>
    <m/>
    <m/>
    <m/>
    <m/>
    <m/>
    <m/>
    <m/>
    <m/>
    <m/>
    <n v="89"/>
    <n v="2"/>
    <n v="1.7"/>
    <m/>
    <m/>
  </r>
  <r>
    <d v="2010-10-14T00:00:00"/>
    <s v="Trap 3"/>
    <n v="24"/>
    <x v="2"/>
    <s v="Restored 1"/>
    <x v="12"/>
    <x v="1"/>
    <n v="35"/>
    <m/>
    <m/>
    <m/>
    <m/>
    <m/>
    <m/>
    <m/>
    <m/>
    <m/>
    <m/>
    <m/>
    <m/>
    <m/>
    <m/>
    <m/>
    <m/>
    <m/>
    <m/>
    <m/>
    <m/>
    <m/>
    <m/>
    <m/>
    <m/>
    <m/>
    <m/>
    <m/>
    <n v="35"/>
    <n v="1"/>
    <n v="2.14"/>
    <m/>
    <m/>
  </r>
  <r>
    <d v="2010-10-28T00:00:00"/>
    <s v="Trap 2"/>
    <n v="25"/>
    <x v="0"/>
    <s v="Reference"/>
    <x v="12"/>
    <x v="1"/>
    <n v="67"/>
    <m/>
    <m/>
    <m/>
    <m/>
    <m/>
    <m/>
    <m/>
    <m/>
    <m/>
    <m/>
    <m/>
    <m/>
    <m/>
    <n v="1"/>
    <m/>
    <m/>
    <m/>
    <m/>
    <m/>
    <m/>
    <m/>
    <m/>
    <m/>
    <m/>
    <m/>
    <m/>
    <m/>
    <n v="68"/>
    <n v="2"/>
    <n v="1.79"/>
    <m/>
    <m/>
  </r>
  <r>
    <d v="2010-10-28T00:00:00"/>
    <s v="Trap 3"/>
    <n v="25"/>
    <x v="1"/>
    <s v="Restored 1"/>
    <x v="12"/>
    <x v="1"/>
    <n v="192"/>
    <m/>
    <m/>
    <n v="1"/>
    <m/>
    <m/>
    <m/>
    <m/>
    <m/>
    <m/>
    <m/>
    <m/>
    <m/>
    <m/>
    <m/>
    <m/>
    <m/>
    <m/>
    <m/>
    <m/>
    <m/>
    <m/>
    <m/>
    <m/>
    <m/>
    <m/>
    <m/>
    <m/>
    <n v="193"/>
    <n v="2"/>
    <m/>
    <m/>
    <m/>
  </r>
  <r>
    <d v="2010-10-28T00:00:00"/>
    <s v="Boomerang"/>
    <n v="25"/>
    <x v="2"/>
    <s v="Wrack Left Year 3"/>
    <x v="12"/>
    <x v="1"/>
    <n v="177"/>
    <n v="1"/>
    <m/>
    <m/>
    <m/>
    <m/>
    <m/>
    <m/>
    <m/>
    <m/>
    <m/>
    <m/>
    <m/>
    <m/>
    <m/>
    <m/>
    <m/>
    <m/>
    <m/>
    <m/>
    <m/>
    <m/>
    <m/>
    <m/>
    <m/>
    <m/>
    <m/>
    <m/>
    <n v="178"/>
    <n v="2"/>
    <n v="1.76"/>
    <m/>
    <m/>
  </r>
  <r>
    <d v="2010-10-28T00:00:00"/>
    <s v="Doughnut Hole"/>
    <n v="25"/>
    <x v="2"/>
    <s v="Wrack Left Year 3"/>
    <x v="12"/>
    <x v="1"/>
    <n v="105"/>
    <m/>
    <m/>
    <m/>
    <m/>
    <m/>
    <m/>
    <m/>
    <m/>
    <m/>
    <m/>
    <m/>
    <m/>
    <m/>
    <m/>
    <m/>
    <m/>
    <m/>
    <m/>
    <m/>
    <m/>
    <m/>
    <m/>
    <m/>
    <m/>
    <m/>
    <m/>
    <m/>
    <n v="105"/>
    <n v="1"/>
    <n v="2.0299999999999998"/>
    <m/>
    <m/>
  </r>
  <r>
    <d v="2011-09-19T00:00:00"/>
    <s v="Trap 2"/>
    <n v="22"/>
    <x v="0"/>
    <s v="Restored 1"/>
    <x v="13"/>
    <x v="1"/>
    <n v="96"/>
    <m/>
    <m/>
    <m/>
    <m/>
    <m/>
    <m/>
    <m/>
    <m/>
    <m/>
    <m/>
    <m/>
    <m/>
    <m/>
    <m/>
    <m/>
    <m/>
    <m/>
    <m/>
    <m/>
    <m/>
    <m/>
    <m/>
    <m/>
    <m/>
    <m/>
    <m/>
    <m/>
    <n v="96"/>
    <n v="1"/>
    <n v="2.3229166666666665"/>
    <m/>
    <m/>
  </r>
  <r>
    <d v="2011-09-19T00:00:00"/>
    <s v="Trap 3"/>
    <n v="22"/>
    <x v="1"/>
    <s v="Restored 1"/>
    <x v="13"/>
    <x v="1"/>
    <n v="21"/>
    <m/>
    <m/>
    <n v="1"/>
    <m/>
    <m/>
    <m/>
    <m/>
    <m/>
    <m/>
    <m/>
    <m/>
    <m/>
    <m/>
    <m/>
    <m/>
    <m/>
    <m/>
    <m/>
    <m/>
    <m/>
    <m/>
    <m/>
    <m/>
    <m/>
    <n v="1"/>
    <m/>
    <m/>
    <n v="23"/>
    <n v="3"/>
    <n v="1.1904761904761905"/>
    <m/>
    <m/>
  </r>
  <r>
    <d v="2011-09-19T00:00:00"/>
    <s v="Boomerang"/>
    <n v="22"/>
    <x v="2"/>
    <s v="Wrack Left "/>
    <x v="13"/>
    <x v="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</r>
  <r>
    <d v="2011-09-19T00:00:00"/>
    <s v="Jelly Bean"/>
    <n v="22"/>
    <x v="3"/>
    <s v="Wrack Left "/>
    <x v="13"/>
    <x v="1"/>
    <n v="127"/>
    <m/>
    <m/>
    <m/>
    <m/>
    <m/>
    <m/>
    <m/>
    <m/>
    <m/>
    <m/>
    <m/>
    <m/>
    <m/>
    <m/>
    <m/>
    <m/>
    <m/>
    <m/>
    <m/>
    <m/>
    <m/>
    <m/>
    <m/>
    <m/>
    <m/>
    <m/>
    <m/>
    <n v="127"/>
    <n v="1"/>
    <n v="1.7322834645669292"/>
    <m/>
    <m/>
  </r>
  <r>
    <d v="2011-09-23T00:00:00"/>
    <s v="Doughnut Hole"/>
    <n v="16"/>
    <x v="2"/>
    <s v="Wrack Left "/>
    <x v="13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d v="2011-09-23T00:00:00"/>
    <s v="Trap 2"/>
    <n v="16"/>
    <x v="0"/>
    <s v="Wrack Left "/>
    <x v="13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d v="2011-09-23T00:00:00"/>
    <s v="Trap 3"/>
    <n v="16"/>
    <x v="1"/>
    <s v="Restored 1"/>
    <x v="13"/>
    <x v="1"/>
    <n v="18"/>
    <m/>
    <m/>
    <m/>
    <m/>
    <m/>
    <m/>
    <m/>
    <m/>
    <n v="1"/>
    <m/>
    <m/>
    <m/>
    <m/>
    <m/>
    <m/>
    <m/>
    <m/>
    <m/>
    <m/>
    <m/>
    <m/>
    <m/>
    <m/>
    <m/>
    <m/>
    <m/>
    <m/>
    <n v="19"/>
    <n v="2"/>
    <n v="1.9444444444444444"/>
    <m/>
    <m/>
  </r>
  <r>
    <d v="2011-09-23T00:00:00"/>
    <s v="Boomerang"/>
    <n v="16"/>
    <x v="2"/>
    <s v="Wrack Left "/>
    <x v="13"/>
    <x v="1"/>
    <n v="94"/>
    <m/>
    <m/>
    <m/>
    <m/>
    <m/>
    <m/>
    <m/>
    <m/>
    <m/>
    <m/>
    <m/>
    <m/>
    <m/>
    <m/>
    <m/>
    <m/>
    <m/>
    <m/>
    <m/>
    <m/>
    <m/>
    <m/>
    <m/>
    <m/>
    <m/>
    <m/>
    <m/>
    <n v="94"/>
    <n v="1"/>
    <n v="3.0319148936170213"/>
    <m/>
    <m/>
  </r>
  <r>
    <d v="2011-10-03T00:00:00"/>
    <s v="Trap 2"/>
    <n v="22.5"/>
    <x v="0"/>
    <s v="Restored 1"/>
    <x v="13"/>
    <x v="1"/>
    <n v="68"/>
    <m/>
    <m/>
    <n v="1"/>
    <m/>
    <m/>
    <m/>
    <m/>
    <m/>
    <m/>
    <m/>
    <m/>
    <m/>
    <m/>
    <m/>
    <m/>
    <m/>
    <m/>
    <m/>
    <m/>
    <m/>
    <m/>
    <m/>
    <m/>
    <m/>
    <m/>
    <m/>
    <m/>
    <n v="69"/>
    <n v="2"/>
    <n v="4.5588235294117645"/>
    <m/>
    <m/>
  </r>
  <r>
    <d v="2011-10-03T00:00:00"/>
    <s v="Trap 3"/>
    <n v="22.5"/>
    <x v="1"/>
    <s v="Restored 1"/>
    <x v="13"/>
    <x v="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</r>
  <r>
    <d v="2011-10-03T00:00:00"/>
    <s v="Boomerang"/>
    <n v="22.5"/>
    <x v="2"/>
    <s v="Wrack Left "/>
    <x v="13"/>
    <x v="1"/>
    <n v="182"/>
    <m/>
    <m/>
    <n v="1"/>
    <m/>
    <m/>
    <m/>
    <m/>
    <m/>
    <m/>
    <m/>
    <m/>
    <m/>
    <m/>
    <m/>
    <m/>
    <m/>
    <m/>
    <m/>
    <m/>
    <m/>
    <m/>
    <m/>
    <m/>
    <m/>
    <m/>
    <m/>
    <m/>
    <n v="183"/>
    <n v="2"/>
    <n v="2.1428571428571428"/>
    <m/>
    <m/>
  </r>
  <r>
    <d v="2011-10-03T00:00:00"/>
    <s v="Doughnut Hole"/>
    <n v="22.5"/>
    <x v="2"/>
    <s v="Wrack Left "/>
    <x v="13"/>
    <x v="1"/>
    <n v="62"/>
    <m/>
    <m/>
    <m/>
    <m/>
    <m/>
    <m/>
    <m/>
    <m/>
    <m/>
    <m/>
    <m/>
    <m/>
    <m/>
    <m/>
    <m/>
    <m/>
    <m/>
    <m/>
    <m/>
    <m/>
    <m/>
    <m/>
    <m/>
    <m/>
    <m/>
    <m/>
    <m/>
    <n v="62"/>
    <n v="1"/>
    <n v="2.338709677419355"/>
    <m/>
    <m/>
  </r>
  <r>
    <d v="2011-10-07T00:00:00"/>
    <s v="Trap 1"/>
    <n v="16"/>
    <x v="0"/>
    <s v="Restored 1"/>
    <x v="13"/>
    <x v="1"/>
    <n v="97"/>
    <m/>
    <m/>
    <m/>
    <m/>
    <m/>
    <m/>
    <m/>
    <m/>
    <m/>
    <m/>
    <m/>
    <m/>
    <m/>
    <m/>
    <m/>
    <m/>
    <m/>
    <m/>
    <m/>
    <m/>
    <m/>
    <m/>
    <m/>
    <m/>
    <m/>
    <m/>
    <m/>
    <n v="97"/>
    <n v="1"/>
    <n v="1.7525773195876289"/>
    <m/>
    <m/>
  </r>
  <r>
    <d v="2011-10-07T00:00:00"/>
    <s v="Trap 3"/>
    <n v="16"/>
    <x v="1"/>
    <s v="Restored 1"/>
    <x v="13"/>
    <x v="1"/>
    <n v="24"/>
    <m/>
    <m/>
    <m/>
    <m/>
    <m/>
    <m/>
    <m/>
    <m/>
    <m/>
    <m/>
    <m/>
    <m/>
    <m/>
    <m/>
    <m/>
    <m/>
    <m/>
    <m/>
    <m/>
    <m/>
    <m/>
    <m/>
    <m/>
    <m/>
    <m/>
    <m/>
    <m/>
    <n v="24"/>
    <n v="1"/>
    <n v="2.2916666666666665"/>
    <m/>
    <m/>
  </r>
  <r>
    <d v="2011-10-07T00:00:00"/>
    <s v="Boomerang"/>
    <n v="16"/>
    <x v="2"/>
    <s v="Wrack Left "/>
    <x v="13"/>
    <x v="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</r>
  <r>
    <d v="2011-10-07T00:00:00"/>
    <s v="Jelly Bean"/>
    <n v="16"/>
    <x v="3"/>
    <s v="Wrack Left "/>
    <x v="13"/>
    <x v="1"/>
    <n v="121"/>
    <m/>
    <m/>
    <m/>
    <m/>
    <m/>
    <m/>
    <m/>
    <m/>
    <m/>
    <m/>
    <m/>
    <m/>
    <m/>
    <m/>
    <m/>
    <m/>
    <m/>
    <m/>
    <m/>
    <m/>
    <m/>
    <m/>
    <m/>
    <m/>
    <m/>
    <m/>
    <m/>
    <n v="121"/>
    <n v="1"/>
    <n v="1.7768595041322315"/>
    <m/>
    <m/>
  </r>
  <r>
    <d v="2012-10-11T00:00:00"/>
    <s v="Trap 1"/>
    <m/>
    <x v="0"/>
    <s v="Restored 1"/>
    <x v="14"/>
    <x v="1"/>
    <n v="2"/>
    <m/>
    <m/>
    <m/>
    <m/>
    <m/>
    <m/>
    <m/>
    <m/>
    <m/>
    <m/>
    <m/>
    <m/>
    <m/>
    <m/>
    <m/>
    <m/>
    <m/>
    <m/>
    <m/>
    <m/>
    <m/>
    <m/>
    <m/>
    <m/>
    <m/>
    <m/>
    <m/>
    <n v="2"/>
    <n v="1"/>
    <n v="4.5"/>
    <m/>
    <m/>
  </r>
  <r>
    <d v="2012-10-11T00:00:00"/>
    <s v="Doughnut Hole"/>
    <m/>
    <x v="2"/>
    <s v="Wrack Left "/>
    <x v="14"/>
    <x v="1"/>
    <n v="310"/>
    <m/>
    <m/>
    <m/>
    <m/>
    <m/>
    <m/>
    <m/>
    <m/>
    <m/>
    <m/>
    <m/>
    <m/>
    <n v="1"/>
    <m/>
    <m/>
    <m/>
    <m/>
    <m/>
    <m/>
    <m/>
    <m/>
    <m/>
    <m/>
    <m/>
    <m/>
    <m/>
    <m/>
    <n v="311"/>
    <n v="2"/>
    <n v="2.2580645161290325"/>
    <m/>
    <m/>
  </r>
  <r>
    <d v="2012-10-12T00:00:00"/>
    <s v="Trap 1"/>
    <n v="24"/>
    <x v="0"/>
    <s v="Restored 1"/>
    <x v="14"/>
    <x v="1"/>
    <n v="148"/>
    <m/>
    <m/>
    <m/>
    <m/>
    <m/>
    <m/>
    <m/>
    <m/>
    <m/>
    <m/>
    <m/>
    <m/>
    <m/>
    <m/>
    <m/>
    <m/>
    <n v="1"/>
    <m/>
    <m/>
    <m/>
    <m/>
    <m/>
    <m/>
    <m/>
    <m/>
    <m/>
    <m/>
    <n v="149"/>
    <n v="2"/>
    <n v="2.2297297297297298"/>
    <m/>
    <n v="2"/>
  </r>
  <r>
    <s v="1012/2012"/>
    <s v="Trap 3 "/>
    <n v="24"/>
    <x v="1"/>
    <s v="Restored 1"/>
    <x v="14"/>
    <x v="1"/>
    <n v="12"/>
    <m/>
    <m/>
    <m/>
    <m/>
    <m/>
    <m/>
    <m/>
    <m/>
    <m/>
    <m/>
    <m/>
    <m/>
    <m/>
    <m/>
    <m/>
    <m/>
    <m/>
    <m/>
    <m/>
    <m/>
    <m/>
    <m/>
    <m/>
    <m/>
    <m/>
    <m/>
    <m/>
    <n v="12"/>
    <n v="1"/>
    <n v="1.6666666666666667"/>
    <m/>
    <m/>
  </r>
  <r>
    <d v="2012-10-12T00:00:00"/>
    <s v="Doughnut Hole"/>
    <n v="24"/>
    <x v="2"/>
    <s v="Wrack Left "/>
    <x v="14"/>
    <x v="1"/>
    <n v="376"/>
    <m/>
    <m/>
    <m/>
    <m/>
    <m/>
    <m/>
    <m/>
    <m/>
    <m/>
    <m/>
    <m/>
    <m/>
    <m/>
    <m/>
    <m/>
    <m/>
    <m/>
    <m/>
    <m/>
    <m/>
    <m/>
    <m/>
    <m/>
    <m/>
    <m/>
    <m/>
    <m/>
    <n v="376"/>
    <n v="1"/>
    <n v="1.8617021276595744"/>
    <m/>
    <m/>
  </r>
  <r>
    <d v="2013-10-09T00:00:00"/>
    <s v="Trap 2"/>
    <n v="24"/>
    <x v="0"/>
    <s v="Restored 1"/>
    <x v="15"/>
    <x v="1"/>
    <n v="94"/>
    <m/>
    <m/>
    <m/>
    <m/>
    <m/>
    <m/>
    <m/>
    <m/>
    <m/>
    <m/>
    <m/>
    <m/>
    <m/>
    <m/>
    <m/>
    <m/>
    <m/>
    <m/>
    <m/>
    <m/>
    <m/>
    <m/>
    <m/>
    <m/>
    <m/>
    <m/>
    <m/>
    <n v="94"/>
    <n v="1"/>
    <n v="1.5"/>
    <m/>
    <m/>
  </r>
  <r>
    <d v="2013-10-09T00:00:00"/>
    <s v="Trap 3"/>
    <n v="24"/>
    <x v="1"/>
    <s v="Restored 1"/>
    <x v="15"/>
    <x v="1"/>
    <n v="132"/>
    <m/>
    <m/>
    <m/>
    <m/>
    <m/>
    <m/>
    <m/>
    <m/>
    <m/>
    <m/>
    <m/>
    <m/>
    <m/>
    <m/>
    <m/>
    <m/>
    <m/>
    <m/>
    <m/>
    <m/>
    <m/>
    <m/>
    <m/>
    <n v="1"/>
    <n v="1"/>
    <m/>
    <m/>
    <n v="134"/>
    <n v="3"/>
    <n v="2.2000000000000002"/>
    <m/>
    <m/>
  </r>
  <r>
    <d v="2013-10-09T00:00:00"/>
    <s v="Boomerang"/>
    <n v="24"/>
    <x v="2"/>
    <s v="Wrack Left "/>
    <x v="15"/>
    <x v="1"/>
    <n v="247"/>
    <m/>
    <m/>
    <m/>
    <m/>
    <m/>
    <m/>
    <m/>
    <m/>
    <m/>
    <m/>
    <m/>
    <m/>
    <m/>
    <m/>
    <m/>
    <m/>
    <m/>
    <m/>
    <m/>
    <m/>
    <m/>
    <m/>
    <m/>
    <m/>
    <m/>
    <m/>
    <m/>
    <n v="247"/>
    <n v="1"/>
    <n v="1.3"/>
    <m/>
    <m/>
  </r>
  <r>
    <d v="2013-10-09T00:00:00"/>
    <s v="Divergent "/>
    <n v="25.1"/>
    <x v="2"/>
    <s v="Wrack Left "/>
    <x v="15"/>
    <x v="1"/>
    <n v="127"/>
    <m/>
    <m/>
    <m/>
    <m/>
    <m/>
    <m/>
    <m/>
    <m/>
    <m/>
    <m/>
    <m/>
    <m/>
    <m/>
    <m/>
    <m/>
    <m/>
    <n v="1"/>
    <m/>
    <m/>
    <m/>
    <m/>
    <m/>
    <m/>
    <m/>
    <m/>
    <m/>
    <m/>
    <n v="128"/>
    <n v="2"/>
    <n v="2"/>
    <m/>
    <m/>
  </r>
  <r>
    <d v="2013-10-10T00:00:00"/>
    <s v="Trap 2"/>
    <n v="24"/>
    <x v="0"/>
    <s v="Restored 1"/>
    <x v="15"/>
    <x v="1"/>
    <n v="88"/>
    <m/>
    <m/>
    <m/>
    <m/>
    <m/>
    <m/>
    <m/>
    <m/>
    <m/>
    <m/>
    <m/>
    <m/>
    <m/>
    <m/>
    <m/>
    <m/>
    <m/>
    <m/>
    <m/>
    <m/>
    <m/>
    <m/>
    <m/>
    <m/>
    <m/>
    <m/>
    <m/>
    <n v="88"/>
    <n v="1"/>
    <n v="1.7"/>
    <m/>
    <m/>
  </r>
  <r>
    <d v="2013-10-10T00:00:00"/>
    <s v="Trap 3"/>
    <n v="24"/>
    <x v="1"/>
    <s v="Restored 1"/>
    <x v="15"/>
    <x v="1"/>
    <n v="77"/>
    <m/>
    <m/>
    <m/>
    <m/>
    <m/>
    <m/>
    <m/>
    <m/>
    <m/>
    <m/>
    <m/>
    <m/>
    <m/>
    <m/>
    <m/>
    <m/>
    <m/>
    <m/>
    <m/>
    <m/>
    <m/>
    <m/>
    <m/>
    <m/>
    <m/>
    <m/>
    <m/>
    <n v="77"/>
    <n v="1"/>
    <n v="2.1"/>
    <m/>
    <m/>
  </r>
  <r>
    <d v="2013-10-10T00:00:00"/>
    <s v="Boomerang"/>
    <n v="24"/>
    <x v="2"/>
    <s v="Wrack Left "/>
    <x v="15"/>
    <x v="1"/>
    <n v="259"/>
    <m/>
    <m/>
    <m/>
    <m/>
    <m/>
    <m/>
    <m/>
    <m/>
    <m/>
    <m/>
    <m/>
    <m/>
    <m/>
    <m/>
    <m/>
    <m/>
    <m/>
    <m/>
    <m/>
    <m/>
    <m/>
    <m/>
    <m/>
    <m/>
    <m/>
    <m/>
    <m/>
    <n v="259"/>
    <n v="1"/>
    <n v="1.9"/>
    <m/>
    <m/>
  </r>
  <r>
    <d v="2013-10-10T00:00:00"/>
    <s v="Doughnut Hole"/>
    <n v="25.25"/>
    <x v="2"/>
    <s v="Wrack Left "/>
    <x v="15"/>
    <x v="1"/>
    <n v="67"/>
    <m/>
    <m/>
    <m/>
    <m/>
    <m/>
    <m/>
    <m/>
    <m/>
    <m/>
    <m/>
    <m/>
    <m/>
    <m/>
    <m/>
    <m/>
    <m/>
    <m/>
    <m/>
    <m/>
    <m/>
    <m/>
    <m/>
    <m/>
    <m/>
    <m/>
    <m/>
    <m/>
    <n v="67"/>
    <n v="1"/>
    <n v="1.7"/>
    <m/>
    <m/>
  </r>
  <r>
    <d v="2013-10-24T00:00:00"/>
    <s v="Trap 2"/>
    <n v="25"/>
    <x v="0"/>
    <s v="Restored 1"/>
    <x v="15"/>
    <x v="1"/>
    <n v="44"/>
    <m/>
    <m/>
    <m/>
    <m/>
    <m/>
    <m/>
    <m/>
    <m/>
    <m/>
    <m/>
    <m/>
    <m/>
    <m/>
    <m/>
    <m/>
    <m/>
    <m/>
    <m/>
    <m/>
    <m/>
    <m/>
    <m/>
    <m/>
    <m/>
    <m/>
    <m/>
    <m/>
    <n v="44"/>
    <n v="1"/>
    <n v="1.36"/>
    <m/>
    <m/>
  </r>
  <r>
    <d v="2013-10-24T00:00:00"/>
    <s v="Trap 3"/>
    <n v="25"/>
    <x v="1"/>
    <s v="Restored 1"/>
    <x v="15"/>
    <x v="1"/>
    <n v="115"/>
    <m/>
    <m/>
    <m/>
    <m/>
    <m/>
    <m/>
    <m/>
    <m/>
    <m/>
    <m/>
    <m/>
    <m/>
    <m/>
    <m/>
    <m/>
    <m/>
    <m/>
    <m/>
    <m/>
    <m/>
    <m/>
    <m/>
    <m/>
    <m/>
    <m/>
    <m/>
    <m/>
    <n v="115"/>
    <n v="1"/>
    <n v="1.3"/>
    <m/>
    <m/>
  </r>
  <r>
    <d v="2013-10-24T00:00:00"/>
    <s v="Doughnut Hole"/>
    <n v="25"/>
    <x v="2"/>
    <s v="Wrack Left "/>
    <x v="15"/>
    <x v="1"/>
    <n v="15"/>
    <m/>
    <m/>
    <m/>
    <m/>
    <m/>
    <m/>
    <m/>
    <m/>
    <m/>
    <m/>
    <m/>
    <m/>
    <m/>
    <m/>
    <m/>
    <m/>
    <m/>
    <m/>
    <m/>
    <m/>
    <m/>
    <m/>
    <m/>
    <m/>
    <m/>
    <m/>
    <m/>
    <n v="15"/>
    <n v="1"/>
    <n v="1.3"/>
    <m/>
    <m/>
  </r>
  <r>
    <d v="2014-10-14T00:00:00"/>
    <s v="Trap 2"/>
    <n v="23.5"/>
    <x v="0"/>
    <s v="Restored 1"/>
    <x v="16"/>
    <x v="1"/>
    <n v="29"/>
    <m/>
    <m/>
    <m/>
    <m/>
    <m/>
    <m/>
    <m/>
    <m/>
    <m/>
    <n v="9"/>
    <m/>
    <m/>
    <m/>
    <m/>
    <m/>
    <m/>
    <m/>
    <m/>
    <m/>
    <m/>
    <m/>
    <m/>
    <m/>
    <m/>
    <m/>
    <m/>
    <m/>
    <n v="38"/>
    <n v="2"/>
    <n v="1.896551724137931"/>
    <m/>
    <m/>
  </r>
  <r>
    <d v="2014-10-14T00:00:00"/>
    <s v="Trap 3"/>
    <n v="23.5"/>
    <x v="1"/>
    <s v="Restored 1"/>
    <x v="16"/>
    <x v="1"/>
    <n v="45"/>
    <m/>
    <m/>
    <m/>
    <m/>
    <m/>
    <m/>
    <m/>
    <m/>
    <m/>
    <m/>
    <m/>
    <m/>
    <m/>
    <m/>
    <m/>
    <m/>
    <m/>
    <m/>
    <m/>
    <m/>
    <m/>
    <m/>
    <m/>
    <m/>
    <m/>
    <m/>
    <m/>
    <n v="45"/>
    <n v="1"/>
    <n v="1.7777777777777777"/>
    <m/>
    <m/>
  </r>
  <r>
    <d v="2014-10-14T00:00:00"/>
    <s v="Boomerang"/>
    <n v="23.5"/>
    <x v="2"/>
    <s v="Wrack Left "/>
    <x v="16"/>
    <x v="1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</r>
  <r>
    <d v="2014-10-14T00:00:00"/>
    <s v="Jelly Bean"/>
    <n v="23.5"/>
    <x v="3"/>
    <s v="Wrack Left "/>
    <x v="16"/>
    <x v="1"/>
    <n v="50"/>
    <m/>
    <m/>
    <m/>
    <m/>
    <m/>
    <m/>
    <m/>
    <m/>
    <m/>
    <m/>
    <m/>
    <m/>
    <m/>
    <m/>
    <m/>
    <m/>
    <m/>
    <m/>
    <m/>
    <m/>
    <m/>
    <m/>
    <m/>
    <m/>
    <m/>
    <m/>
    <m/>
    <n v="50"/>
    <n v="1"/>
    <n v="1.5"/>
    <m/>
    <m/>
  </r>
  <r>
    <d v="2014-10-15T00:00:00"/>
    <s v="Trap 2"/>
    <n v="24"/>
    <x v="0"/>
    <s v="Restored 1"/>
    <x v="16"/>
    <x v="1"/>
    <n v="9"/>
    <m/>
    <m/>
    <m/>
    <m/>
    <m/>
    <m/>
    <m/>
    <m/>
    <m/>
    <m/>
    <m/>
    <m/>
    <m/>
    <m/>
    <m/>
    <m/>
    <m/>
    <m/>
    <m/>
    <m/>
    <m/>
    <m/>
    <m/>
    <m/>
    <m/>
    <m/>
    <m/>
    <n v="9"/>
    <n v="1"/>
    <n v="6.1111111111111107"/>
    <m/>
    <m/>
  </r>
  <r>
    <d v="2014-10-15T00:00:00"/>
    <s v="Trap 3"/>
    <n v="24"/>
    <x v="1"/>
    <s v="Restored 1"/>
    <x v="16"/>
    <x v="1"/>
    <n v="8"/>
    <m/>
    <m/>
    <m/>
    <m/>
    <m/>
    <m/>
    <m/>
    <m/>
    <m/>
    <m/>
    <m/>
    <m/>
    <m/>
    <m/>
    <m/>
    <m/>
    <m/>
    <m/>
    <m/>
    <m/>
    <m/>
    <m/>
    <m/>
    <m/>
    <m/>
    <m/>
    <m/>
    <n v="8"/>
    <n v="1"/>
    <n v="1.5"/>
    <m/>
    <m/>
  </r>
  <r>
    <d v="2014-10-15T00:00:00"/>
    <s v="Doughnut Hole"/>
    <n v="24"/>
    <x v="3"/>
    <s v="Wrack Left "/>
    <x v="16"/>
    <x v="1"/>
    <m/>
    <m/>
    <m/>
    <n v="3"/>
    <m/>
    <m/>
    <m/>
    <m/>
    <m/>
    <m/>
    <m/>
    <m/>
    <m/>
    <m/>
    <m/>
    <m/>
    <m/>
    <m/>
    <m/>
    <m/>
    <m/>
    <m/>
    <m/>
    <m/>
    <m/>
    <m/>
    <m/>
    <m/>
    <n v="3"/>
    <n v="1"/>
    <n v="1"/>
    <m/>
    <m/>
  </r>
  <r>
    <d v="2014-10-16T00:00:00"/>
    <s v="Trap 2"/>
    <n v="24.25"/>
    <x v="0"/>
    <s v="Restored 1"/>
    <x v="16"/>
    <x v="1"/>
    <n v="88"/>
    <m/>
    <m/>
    <m/>
    <m/>
    <m/>
    <m/>
    <m/>
    <m/>
    <m/>
    <m/>
    <m/>
    <m/>
    <m/>
    <m/>
    <m/>
    <m/>
    <m/>
    <m/>
    <m/>
    <m/>
    <m/>
    <m/>
    <m/>
    <m/>
    <m/>
    <m/>
    <m/>
    <n v="88"/>
    <n v="1"/>
    <n v="1.9318181818181819"/>
    <m/>
    <m/>
  </r>
  <r>
    <d v="2014-10-16T00:00:00"/>
    <s v="Trap 3"/>
    <n v="24.25"/>
    <x v="1"/>
    <s v="Restored 1"/>
    <x v="16"/>
    <x v="1"/>
    <n v="42"/>
    <m/>
    <m/>
    <m/>
    <m/>
    <m/>
    <m/>
    <m/>
    <m/>
    <m/>
    <m/>
    <m/>
    <m/>
    <m/>
    <m/>
    <m/>
    <m/>
    <m/>
    <m/>
    <m/>
    <m/>
    <m/>
    <m/>
    <m/>
    <m/>
    <m/>
    <m/>
    <m/>
    <n v="42"/>
    <n v="1"/>
    <n v="1.7857142857142858"/>
    <m/>
    <m/>
  </r>
  <r>
    <d v="2014-10-16T00:00:00"/>
    <s v="Jelly Bean"/>
    <n v="24.25"/>
    <x v="3"/>
    <s v="Wrack Left "/>
    <x v="16"/>
    <x v="1"/>
    <n v="187"/>
    <m/>
    <m/>
    <m/>
    <m/>
    <m/>
    <m/>
    <m/>
    <m/>
    <m/>
    <m/>
    <m/>
    <m/>
    <m/>
    <m/>
    <m/>
    <m/>
    <m/>
    <m/>
    <m/>
    <m/>
    <m/>
    <m/>
    <m/>
    <m/>
    <m/>
    <m/>
    <m/>
    <n v="187"/>
    <n v="1"/>
    <n v="1.6844919786096257"/>
    <m/>
    <m/>
  </r>
  <r>
    <d v="2014-10-17T00:00:00"/>
    <s v="Trap 2"/>
    <n v="23.25"/>
    <x v="0"/>
    <s v="Restored 1"/>
    <x v="16"/>
    <x v="1"/>
    <n v="84"/>
    <m/>
    <m/>
    <m/>
    <m/>
    <m/>
    <m/>
    <m/>
    <m/>
    <m/>
    <m/>
    <m/>
    <m/>
    <m/>
    <m/>
    <m/>
    <m/>
    <m/>
    <m/>
    <m/>
    <m/>
    <m/>
    <m/>
    <m/>
    <m/>
    <m/>
    <m/>
    <m/>
    <n v="84"/>
    <n v="1"/>
    <n v="2.6190476190476191"/>
    <m/>
    <m/>
  </r>
  <r>
    <d v="2014-10-17T00:00:00"/>
    <s v="Trap 3"/>
    <n v="23.25"/>
    <x v="1"/>
    <s v="Restored 1"/>
    <x v="16"/>
    <x v="1"/>
    <n v="60"/>
    <m/>
    <m/>
    <m/>
    <m/>
    <m/>
    <m/>
    <m/>
    <m/>
    <m/>
    <m/>
    <m/>
    <m/>
    <m/>
    <m/>
    <m/>
    <m/>
    <m/>
    <m/>
    <m/>
    <m/>
    <m/>
    <m/>
    <m/>
    <m/>
    <m/>
    <m/>
    <m/>
    <n v="60"/>
    <n v="1"/>
    <n v="1.5833333333333333"/>
    <m/>
    <m/>
  </r>
  <r>
    <d v="2014-10-17T00:00:00"/>
    <s v="Jelly Bean"/>
    <n v="23.25"/>
    <x v="3"/>
    <s v="Wrack Left "/>
    <x v="16"/>
    <x v="1"/>
    <n v="453"/>
    <m/>
    <m/>
    <m/>
    <m/>
    <m/>
    <m/>
    <m/>
    <m/>
    <m/>
    <m/>
    <m/>
    <m/>
    <m/>
    <m/>
    <m/>
    <m/>
    <m/>
    <m/>
    <m/>
    <m/>
    <m/>
    <m/>
    <m/>
    <m/>
    <m/>
    <m/>
    <m/>
    <n v="453"/>
    <n v="1"/>
    <n v="1.9646799116997793"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403">
  <r>
    <d v="1998-06-02T00:00:00"/>
    <s v="Trap 1"/>
    <m/>
    <x v="0"/>
    <s v="Reference"/>
    <x v="0"/>
    <s v="Spring"/>
    <n v="16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"/>
    <n v="1"/>
    <n v="3.4"/>
    <m/>
    <m/>
    <m/>
  </r>
  <r>
    <d v="1998-06-02T00:00:00"/>
    <s v="Trap 2"/>
    <m/>
    <x v="0"/>
    <s v="Reference"/>
    <x v="0"/>
    <s v="Spring"/>
    <n v="27"/>
    <n v="0"/>
    <n v="0"/>
    <n v="0"/>
    <m/>
    <m/>
    <m/>
    <m/>
    <m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"/>
    <n v="2"/>
    <n v="2.27"/>
    <m/>
    <m/>
    <m/>
  </r>
  <r>
    <d v="1998-06-02T00:00:00"/>
    <s v="Trap 2.5"/>
    <m/>
    <x v="0"/>
    <s v="Reference"/>
    <x v="0"/>
    <s v="Spring"/>
    <n v="3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"/>
    <n v="3.3"/>
    <m/>
    <m/>
    <m/>
  </r>
  <r>
    <d v="1998-06-02T00:00:00"/>
    <s v="Trap 3"/>
    <m/>
    <x v="1"/>
    <s v="Restricted"/>
    <x v="0"/>
    <s v="Spring"/>
    <n v="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d v="1998-06-03T00:00:00"/>
    <s v="Trap 2"/>
    <m/>
    <x v="0"/>
    <s v="Reference"/>
    <x v="0"/>
    <s v="Spring"/>
    <n v="8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"/>
    <n v="1"/>
    <n v="2.4"/>
    <m/>
    <m/>
    <m/>
  </r>
  <r>
    <d v="1998-06-03T00:00:00"/>
    <s v="Trap 2.5"/>
    <m/>
    <x v="0"/>
    <s v="Reference"/>
    <x v="0"/>
    <s v="Spring"/>
    <n v="26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"/>
    <n v="1"/>
    <n v="3.6"/>
    <m/>
    <m/>
    <m/>
  </r>
  <r>
    <d v="1998-06-03T00:00:00"/>
    <s v="Trap 3"/>
    <m/>
    <x v="1"/>
    <s v="Restricted"/>
    <x v="0"/>
    <s v="Spring"/>
    <n v="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m/>
    <m/>
    <m/>
    <m/>
  </r>
  <r>
    <d v="1998-06-04T00:00:00"/>
    <s v="Trap 1"/>
    <m/>
    <x v="0"/>
    <s v="Reference"/>
    <x v="0"/>
    <s v="Spring"/>
    <n v="62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"/>
    <n v="1"/>
    <n v="2.1"/>
    <m/>
    <m/>
    <m/>
  </r>
  <r>
    <d v="1998-06-04T00:00:00"/>
    <s v="Trap 2"/>
    <m/>
    <x v="0"/>
    <s v="Reference"/>
    <x v="0"/>
    <s v="Spring"/>
    <n v="2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"/>
    <m/>
    <m/>
    <m/>
    <m/>
  </r>
  <r>
    <d v="1998-06-04T00:00:00"/>
    <s v="Trap 2.5"/>
    <m/>
    <x v="0"/>
    <s v="Reference"/>
    <x v="0"/>
    <s v="Spring"/>
    <n v="36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"/>
    <n v="1"/>
    <n v="1.7"/>
    <m/>
    <m/>
    <m/>
  </r>
  <r>
    <d v="1998-06-04T00:00:00"/>
    <s v="Trap 3"/>
    <m/>
    <x v="1"/>
    <s v="Restricted"/>
    <x v="0"/>
    <s v="Spring"/>
    <n v="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d v="1998-06-09T00:00:00"/>
    <s v="Trap 1"/>
    <m/>
    <x v="0"/>
    <s v="Reference"/>
    <x v="0"/>
    <s v="Spring"/>
    <n v="15"/>
    <n v="0"/>
    <n v="0"/>
    <n v="0"/>
    <m/>
    <m/>
    <m/>
    <m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"/>
    <n v="3"/>
    <n v="1.6"/>
    <m/>
    <m/>
    <m/>
  </r>
  <r>
    <d v="1998-06-09T00:00:00"/>
    <s v="Trap 2"/>
    <m/>
    <x v="0"/>
    <s v="Reference"/>
    <x v="0"/>
    <s v="Spring"/>
    <n v="1"/>
    <n v="0"/>
    <n v="0"/>
    <n v="0"/>
    <m/>
    <m/>
    <m/>
    <m/>
    <m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5"/>
    <m/>
    <m/>
    <m/>
  </r>
  <r>
    <d v="1998-06-09T00:00:00"/>
    <s v="Trap 2.5"/>
    <m/>
    <x v="0"/>
    <s v="Reference"/>
    <x v="0"/>
    <s v="Spring"/>
    <n v="1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"/>
    <n v="2"/>
    <m/>
    <m/>
    <m/>
  </r>
  <r>
    <d v="1998-06-09T00:00:00"/>
    <s v="Trap 3"/>
    <m/>
    <x v="1"/>
    <s v="Restricted"/>
    <x v="0"/>
    <s v="Spring"/>
    <n v="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d v="1998-06-10T00:00:00"/>
    <s v="Trap 1"/>
    <m/>
    <x v="0"/>
    <s v="Reference"/>
    <x v="0"/>
    <s v="Spring"/>
    <n v="56"/>
    <n v="0"/>
    <n v="0"/>
    <n v="0"/>
    <m/>
    <m/>
    <m/>
    <m/>
    <m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57"/>
    <n v="2"/>
    <n v="1.6"/>
    <m/>
    <m/>
    <m/>
  </r>
  <r>
    <d v="1998-06-10T00:00:00"/>
    <s v="Trap 2"/>
    <m/>
    <x v="0"/>
    <s v="Reference"/>
    <x v="0"/>
    <s v="Spring"/>
    <n v="69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"/>
    <n v="1"/>
    <n v="2.17"/>
    <m/>
    <m/>
    <m/>
  </r>
  <r>
    <d v="1998-06-10T00:00:00"/>
    <s v="Trap 2.5"/>
    <m/>
    <x v="0"/>
    <s v="Reference"/>
    <x v="0"/>
    <s v="Spring"/>
    <m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1.8"/>
    <m/>
    <m/>
    <m/>
  </r>
  <r>
    <d v="1998-06-10T00:00:00"/>
    <s v="Trap 3"/>
    <m/>
    <x v="1"/>
    <s v="Restricted"/>
    <x v="0"/>
    <s v="Spring"/>
    <n v="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d v="1998-06-12T00:00:00"/>
    <s v="Trap 1"/>
    <m/>
    <x v="0"/>
    <s v="Reference"/>
    <x v="0"/>
    <s v="Spring"/>
    <n v="58"/>
    <n v="0"/>
    <n v="0"/>
    <n v="0"/>
    <m/>
    <m/>
    <m/>
    <m/>
    <m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59"/>
    <n v="1"/>
    <m/>
    <m/>
    <m/>
    <m/>
  </r>
  <r>
    <d v="1998-06-12T00:00:00"/>
    <s v="Trap 2"/>
    <m/>
    <x v="0"/>
    <s v="Reference"/>
    <x v="0"/>
    <s v="Spring"/>
    <n v="48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"/>
    <n v="1"/>
    <m/>
    <m/>
    <m/>
    <m/>
  </r>
  <r>
    <d v="1998-10-02T00:00:00"/>
    <s v="Trap 1"/>
    <n v="26"/>
    <x v="0"/>
    <s v="Reference"/>
    <x v="0"/>
    <s v="Fall"/>
    <n v="58"/>
    <n v="0"/>
    <n v="0"/>
    <n v="0"/>
    <m/>
    <m/>
    <m/>
    <m/>
    <m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59"/>
    <n v="2"/>
    <n v="1.6"/>
    <m/>
    <m/>
    <m/>
  </r>
  <r>
    <d v="1998-10-02T00:00:00"/>
    <s v="Trap 2"/>
    <n v="25"/>
    <x v="0"/>
    <s v="Reference"/>
    <x v="0"/>
    <s v="Fall"/>
    <n v="11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"/>
    <n v="1"/>
    <n v="1.6"/>
    <m/>
    <m/>
    <m/>
  </r>
  <r>
    <d v="1998-10-02T00:00:00"/>
    <s v="Trap 3"/>
    <n v="24.5"/>
    <x v="1"/>
    <s v="Restricted"/>
    <x v="0"/>
    <s v="Fall"/>
    <n v="7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1"/>
    <n v="1.4"/>
    <m/>
    <m/>
    <m/>
  </r>
  <r>
    <d v="1998-10-12T00:00:00"/>
    <s v="Trap 1"/>
    <n v="12"/>
    <x v="0"/>
    <s v="Reference"/>
    <x v="0"/>
    <s v="Fall"/>
    <n v="85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"/>
    <n v="1"/>
    <n v="1.2"/>
    <m/>
    <m/>
    <m/>
  </r>
  <r>
    <d v="1998-10-12T00:00:00"/>
    <s v="Trap 2"/>
    <n v="13"/>
    <x v="0"/>
    <s v="Reference"/>
    <x v="0"/>
    <s v="Fall"/>
    <n v="22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"/>
    <n v="1"/>
    <n v="1.3"/>
    <m/>
    <m/>
    <m/>
  </r>
  <r>
    <d v="1998-10-12T00:00:00"/>
    <s v="Trap 3"/>
    <n v="13"/>
    <x v="1"/>
    <s v="Restricted"/>
    <x v="0"/>
    <s v="Fall"/>
    <n v="2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"/>
    <n v="1.3"/>
    <m/>
    <m/>
    <m/>
  </r>
  <r>
    <d v="1998-10-13T00:00:00"/>
    <s v="Trap 1"/>
    <n v="11"/>
    <x v="0"/>
    <s v="Reference"/>
    <x v="0"/>
    <s v="Fall"/>
    <n v="18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"/>
    <n v="1"/>
    <n v="1.1000000000000001"/>
    <m/>
    <m/>
    <m/>
  </r>
  <r>
    <d v="1998-10-13T00:00:00"/>
    <s v="Trap 2"/>
    <n v="10"/>
    <x v="0"/>
    <s v="Reference"/>
    <x v="0"/>
    <s v="Fall"/>
    <n v="83"/>
    <n v="0"/>
    <n v="1"/>
    <n v="0"/>
    <m/>
    <m/>
    <m/>
    <m/>
    <m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85"/>
    <n v="3"/>
    <n v="1.2"/>
    <m/>
    <m/>
    <m/>
  </r>
  <r>
    <d v="1998-10-13T00:00:00"/>
    <s v="Trap 3"/>
    <n v="11"/>
    <x v="1"/>
    <s v="Restricted"/>
    <x v="0"/>
    <s v="Fall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"/>
    <n v="1.1000000000000001"/>
    <m/>
    <m/>
    <m/>
  </r>
  <r>
    <d v="1998-10-14T00:00:00"/>
    <s v="Trap 1"/>
    <n v="11"/>
    <x v="0"/>
    <s v="Reference"/>
    <x v="0"/>
    <s v="Fall"/>
    <n v="90"/>
    <n v="0"/>
    <n v="0"/>
    <n v="1"/>
    <m/>
    <m/>
    <m/>
    <m/>
    <m/>
    <n v="0"/>
    <n v="2"/>
    <n v="0"/>
    <n v="0"/>
    <n v="0"/>
    <n v="2"/>
    <n v="0"/>
    <n v="0"/>
    <n v="1"/>
    <n v="0"/>
    <n v="0"/>
    <n v="0"/>
    <n v="0"/>
    <n v="0"/>
    <n v="0"/>
    <n v="0"/>
    <n v="0"/>
    <n v="0"/>
    <n v="0"/>
    <n v="96"/>
    <n v="4"/>
    <n v="1.2"/>
    <m/>
    <m/>
    <m/>
  </r>
  <r>
    <d v="1998-10-14T00:00:00"/>
    <s v="Trap 2"/>
    <n v="11"/>
    <x v="0"/>
    <s v="Reference"/>
    <x v="0"/>
    <s v="Fall"/>
    <n v="9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"/>
    <n v="1.3"/>
    <m/>
    <m/>
    <m/>
  </r>
  <r>
    <d v="1998-10-14T00:00:00"/>
    <s v="Trap 3"/>
    <n v="11"/>
    <x v="1"/>
    <s v="Restricted"/>
    <x v="0"/>
    <s v="Fall"/>
    <n v="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d v="1999-10-19T00:00:00"/>
    <s v="Trap 1"/>
    <n v="20"/>
    <x v="0"/>
    <s v="Reference"/>
    <x v="1"/>
    <s v="Fall"/>
    <n v="86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"/>
    <m/>
    <n v="1.91"/>
    <m/>
    <m/>
    <m/>
  </r>
  <r>
    <d v="1999-10-19T00:00:00"/>
    <s v="Trap 2"/>
    <n v="21.5"/>
    <x v="0"/>
    <s v="Reference"/>
    <x v="1"/>
    <s v="Fall"/>
    <n v="138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8"/>
    <m/>
    <n v="1.95"/>
    <m/>
    <m/>
    <m/>
  </r>
  <r>
    <d v="1999-10-19T00:00:00"/>
    <s v="Trap 3"/>
    <n v="21.5"/>
    <x v="1"/>
    <s v="Restricted"/>
    <x v="1"/>
    <s v="Fall"/>
    <n v="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</r>
  <r>
    <d v="1999-10-21T00:00:00"/>
    <s v="Trap 2"/>
    <n v="0"/>
    <x v="0"/>
    <s v="Reference"/>
    <x v="1"/>
    <s v="Fall"/>
    <n v="72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"/>
    <m/>
    <n v="2.15"/>
    <m/>
    <m/>
    <m/>
  </r>
  <r>
    <d v="1999-10-21T00:00:00"/>
    <s v="Trap 3"/>
    <m/>
    <x v="1"/>
    <s v="Restricted"/>
    <x v="1"/>
    <s v="Fall"/>
    <n v="12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"/>
    <m/>
    <n v="1.25"/>
    <m/>
    <m/>
    <m/>
  </r>
  <r>
    <d v="1999-10-21T00:00:00"/>
    <s v="Boomerang"/>
    <m/>
    <x v="2"/>
    <s v="Pannes Cleared"/>
    <x v="1"/>
    <s v="Fall"/>
    <n v="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</r>
  <r>
    <d v="1999-10-21T00:00:00"/>
    <s v="Doughnut Hole"/>
    <n v="23.5"/>
    <x v="2"/>
    <s v="Pannes Cleared"/>
    <x v="1"/>
    <s v="Fall"/>
    <n v="285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5"/>
    <m/>
    <n v="1.8"/>
    <m/>
    <m/>
    <m/>
  </r>
  <r>
    <d v="1999-10-25T00:00:00"/>
    <s v="Trap 2.5"/>
    <n v="20"/>
    <x v="0"/>
    <s v="Reference"/>
    <x v="1"/>
    <s v="Fall"/>
    <m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3.21"/>
    <m/>
    <m/>
    <m/>
  </r>
  <r>
    <d v="1999-10-25T00:00:00"/>
    <s v="Trap 3"/>
    <n v="3.5"/>
    <x v="1"/>
    <s v="Restricted"/>
    <x v="1"/>
    <s v="Fall"/>
    <n v="13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"/>
    <m/>
    <n v="2.84"/>
    <m/>
    <m/>
    <m/>
  </r>
  <r>
    <d v="1999-10-25T00:00:00"/>
    <s v="Boomerang"/>
    <n v="2.5"/>
    <x v="2"/>
    <s v="Pannes Cleared"/>
    <x v="1"/>
    <s v="Fall"/>
    <n v="74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"/>
    <m/>
    <n v="2.2200000000000002"/>
    <m/>
    <m/>
    <m/>
  </r>
  <r>
    <d v="1999-10-25T00:00:00"/>
    <s v="Doughnut Hole"/>
    <m/>
    <x v="2"/>
    <s v="Pannes Cleared"/>
    <x v="1"/>
    <s v="Fall"/>
    <n v="21"/>
    <n v="0"/>
    <n v="0"/>
    <n v="0"/>
    <m/>
    <m/>
    <m/>
    <m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"/>
    <m/>
    <n v="3.81"/>
    <m/>
    <m/>
    <m/>
  </r>
  <r>
    <d v="1999-10-26T00:00:00"/>
    <s v="Trap 1"/>
    <n v="26"/>
    <x v="0"/>
    <s v="Reference"/>
    <x v="1"/>
    <s v="Fall"/>
    <n v="24"/>
    <n v="0"/>
    <n v="0"/>
    <n v="0"/>
    <m/>
    <m/>
    <m/>
    <m/>
    <m/>
    <n v="0"/>
    <n v="0"/>
    <n v="0"/>
    <n v="0"/>
    <n v="0"/>
    <n v="0"/>
    <n v="0"/>
    <n v="0"/>
    <n v="10"/>
    <n v="0"/>
    <n v="0"/>
    <n v="0"/>
    <n v="0"/>
    <n v="0"/>
    <n v="0"/>
    <n v="0"/>
    <n v="0"/>
    <n v="0"/>
    <n v="0"/>
    <n v="34"/>
    <m/>
    <n v="2.54"/>
    <m/>
    <m/>
    <m/>
  </r>
  <r>
    <d v="1999-10-26T00:00:00"/>
    <s v="Trap 2"/>
    <n v="26"/>
    <x v="0"/>
    <s v="Reference"/>
    <x v="1"/>
    <s v="Fall"/>
    <n v="23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"/>
    <m/>
    <n v="2.6"/>
    <m/>
    <m/>
    <m/>
  </r>
  <r>
    <d v="1999-10-26T00:00:00"/>
    <s v="Trap 2.5"/>
    <n v="18.5"/>
    <x v="0"/>
    <s v="Reference"/>
    <x v="1"/>
    <s v="Fall"/>
    <n v="38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"/>
    <m/>
    <n v="3.3"/>
    <m/>
    <m/>
    <m/>
  </r>
  <r>
    <d v="1999-10-26T00:00:00"/>
    <s v="Trap 3"/>
    <n v="19.5"/>
    <x v="1"/>
    <s v="Restricted"/>
    <x v="1"/>
    <s v="Fall"/>
    <n v="8"/>
    <n v="0"/>
    <n v="0"/>
    <n v="0"/>
    <m/>
    <m/>
    <m/>
    <m/>
    <m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9"/>
    <m/>
    <n v="2.5"/>
    <m/>
    <m/>
    <m/>
  </r>
  <r>
    <d v="1999-10-26T00:00:00"/>
    <s v="Boomerang"/>
    <n v="18.5"/>
    <x v="2"/>
    <s v="Pannes Cleared"/>
    <x v="1"/>
    <s v="Fall"/>
    <n v="234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4"/>
    <m/>
    <n v="2.48"/>
    <m/>
    <m/>
    <m/>
  </r>
  <r>
    <d v="1999-10-26T00:00:00"/>
    <s v="Doughnut Hole"/>
    <n v="18.5"/>
    <x v="2"/>
    <s v="Pannes Cleared"/>
    <x v="1"/>
    <s v="Fall"/>
    <n v="341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1"/>
    <m/>
    <n v="2.41"/>
    <m/>
    <m/>
    <m/>
  </r>
  <r>
    <d v="1999-10-27T00:00:00"/>
    <s v="Trap 2.5"/>
    <n v="25.5"/>
    <x v="0"/>
    <s v="Reference"/>
    <x v="1"/>
    <s v="Fall"/>
    <n v="96"/>
    <n v="0"/>
    <n v="0"/>
    <n v="0"/>
    <m/>
    <m/>
    <m/>
    <m/>
    <m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99"/>
    <m/>
    <n v="2.86"/>
    <m/>
    <m/>
    <m/>
  </r>
  <r>
    <d v="2000-05-22T00:00:00"/>
    <s v="Boomerang"/>
    <m/>
    <x v="2"/>
    <s v="Pannes Cleared"/>
    <x v="2"/>
    <s v="Spring"/>
    <n v="155"/>
    <n v="0"/>
    <n v="3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"/>
    <n v="2"/>
    <n v="3.3"/>
    <m/>
    <m/>
    <m/>
  </r>
  <r>
    <d v="2000-05-22T00:00:00"/>
    <s v="Trap 1"/>
    <m/>
    <x v="0"/>
    <s v="Reference"/>
    <x v="2"/>
    <s v="Spring"/>
    <n v="68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"/>
    <n v="1"/>
    <n v="2.57"/>
    <m/>
    <m/>
    <m/>
  </r>
  <r>
    <d v="2000-05-22T00:00:00"/>
    <s v="Trap 2"/>
    <m/>
    <x v="0"/>
    <s v="Reference"/>
    <x v="2"/>
    <s v="Spring"/>
    <n v="97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"/>
    <n v="1"/>
    <n v="2.57"/>
    <m/>
    <m/>
    <m/>
  </r>
  <r>
    <d v="2000-05-22T00:00:00"/>
    <s v="Trap 3"/>
    <m/>
    <x v="1"/>
    <s v="Restricted"/>
    <x v="2"/>
    <s v="Spring"/>
    <n v="4"/>
    <n v="0"/>
    <n v="0"/>
    <n v="0"/>
    <m/>
    <m/>
    <m/>
    <m/>
    <m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7"/>
    <n v="2"/>
    <n v="5"/>
    <m/>
    <m/>
    <m/>
  </r>
  <r>
    <d v="2000-05-23T00:00:00"/>
    <s v="Boomerang"/>
    <m/>
    <x v="2"/>
    <s v="Pannes Cleared"/>
    <x v="2"/>
    <s v="Spring"/>
    <n v="184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4"/>
    <n v="1"/>
    <n v="5"/>
    <m/>
    <m/>
    <m/>
  </r>
  <r>
    <d v="2000-05-23T00:00:00"/>
    <s v="Doughnut Hole"/>
    <m/>
    <x v="2"/>
    <s v="Pannes Cleared"/>
    <x v="2"/>
    <s v="Spring"/>
    <n v="229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9"/>
    <n v="1"/>
    <n v="5"/>
    <m/>
    <m/>
    <m/>
  </r>
  <r>
    <d v="2000-05-23T00:00:00"/>
    <s v="Trap 1"/>
    <m/>
    <x v="0"/>
    <s v="Reference"/>
    <x v="2"/>
    <s v="Spring"/>
    <n v="87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"/>
    <n v="1"/>
    <n v="3.32"/>
    <m/>
    <m/>
    <m/>
  </r>
  <r>
    <d v="2000-05-23T00:00:00"/>
    <s v="Trap 2"/>
    <m/>
    <x v="0"/>
    <s v="Reference"/>
    <x v="2"/>
    <s v="Spring"/>
    <n v="106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"/>
    <n v="1"/>
    <n v="2.35"/>
    <m/>
    <m/>
    <m/>
  </r>
  <r>
    <d v="2000-05-23T00:00:00"/>
    <s v="Trap 2.5"/>
    <m/>
    <x v="0"/>
    <s v="Reference"/>
    <x v="2"/>
    <s v="Spring"/>
    <n v="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d v="2000-05-23T00:00:00"/>
    <s v="Trap 3"/>
    <m/>
    <x v="1"/>
    <s v="Restricted"/>
    <x v="2"/>
    <s v="Spring"/>
    <n v="1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2"/>
    <n v="2"/>
    <n v="2.5"/>
    <m/>
    <m/>
    <m/>
  </r>
  <r>
    <d v="2000-05-25T00:00:00"/>
    <s v="Boomerang"/>
    <m/>
    <x v="2"/>
    <s v="Pannes Cleared"/>
    <x v="2"/>
    <s v="Spring"/>
    <n v="89"/>
    <n v="0"/>
    <n v="1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"/>
    <n v="2"/>
    <n v="2.2000000000000002"/>
    <m/>
    <m/>
    <m/>
  </r>
  <r>
    <d v="2000-05-25T00:00:00"/>
    <s v="Doughnut Hole"/>
    <m/>
    <x v="2"/>
    <s v="Pannes Cleared"/>
    <x v="2"/>
    <s v="Spring"/>
    <n v="215"/>
    <n v="0"/>
    <n v="0"/>
    <n v="0"/>
    <m/>
    <m/>
    <m/>
    <m/>
    <m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16"/>
    <n v="2"/>
    <n v="4.3"/>
    <m/>
    <m/>
    <m/>
  </r>
  <r>
    <d v="2000-05-25T00:00:00"/>
    <s v="Trap 1"/>
    <m/>
    <x v="0"/>
    <s v="Reference"/>
    <x v="2"/>
    <s v="Spring"/>
    <n v="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d v="2000-05-25T00:00:00"/>
    <s v="Trap 2"/>
    <m/>
    <x v="0"/>
    <s v="Reference"/>
    <x v="2"/>
    <s v="Spring"/>
    <n v="2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"/>
    <m/>
    <m/>
    <m/>
    <m/>
  </r>
  <r>
    <d v="2000-05-25T00:00:00"/>
    <s v="Trap 2.5"/>
    <m/>
    <x v="0"/>
    <s v="Reference"/>
    <x v="2"/>
    <s v="Spring"/>
    <n v="4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"/>
    <m/>
    <m/>
    <m/>
    <m/>
  </r>
  <r>
    <d v="2000-05-25T00:00:00"/>
    <s v="Trap 3"/>
    <m/>
    <x v="1"/>
    <s v="Restricted"/>
    <x v="2"/>
    <s v="Spring"/>
    <n v="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d v="2000-05-26T00:00:00"/>
    <s v="Trap 2.5"/>
    <m/>
    <x v="0"/>
    <s v="Reference"/>
    <x v="2"/>
    <s v="Spring"/>
    <n v="66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"/>
    <n v="1"/>
    <n v="2.7"/>
    <m/>
    <m/>
    <m/>
  </r>
  <r>
    <d v="2000-05-26T00:00:00"/>
    <s v="Trap 3"/>
    <m/>
    <x v="1"/>
    <s v="Restricted"/>
    <x v="2"/>
    <s v="Spring"/>
    <m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d v="2000-09-18T00:00:00"/>
    <s v="Boomerang"/>
    <m/>
    <x v="2"/>
    <s v="Pannes Cleared"/>
    <x v="2"/>
    <s v="Fall"/>
    <n v="105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"/>
    <n v="1"/>
    <n v="1.19"/>
    <m/>
    <m/>
    <m/>
  </r>
  <r>
    <d v="2000-09-18T00:00:00"/>
    <s v="Doughnut Hole"/>
    <m/>
    <x v="2"/>
    <s v="Pannes Cleared"/>
    <x v="2"/>
    <s v="Fall"/>
    <n v="264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4"/>
    <n v="1"/>
    <n v="4.45"/>
    <m/>
    <m/>
    <m/>
  </r>
  <r>
    <d v="2000-09-18T00:00:00"/>
    <s v="Trap 1"/>
    <m/>
    <x v="0"/>
    <s v="Reference"/>
    <x v="2"/>
    <s v="Fall"/>
    <n v="22"/>
    <n v="0"/>
    <n v="0"/>
    <n v="0"/>
    <m/>
    <m/>
    <m/>
    <m/>
    <m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24"/>
    <n v="2"/>
    <n v="1.2"/>
    <m/>
    <m/>
    <m/>
  </r>
  <r>
    <d v="2000-09-18T00:00:00"/>
    <s v="Trap 2"/>
    <m/>
    <x v="0"/>
    <s v="Reference"/>
    <x v="2"/>
    <s v="Fall"/>
    <n v="3"/>
    <n v="0"/>
    <n v="0"/>
    <n v="0"/>
    <m/>
    <m/>
    <m/>
    <m/>
    <m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4"/>
    <n v="2"/>
    <n v="1.67"/>
    <m/>
    <m/>
    <m/>
  </r>
  <r>
    <d v="2000-09-18T00:00:00"/>
    <s v="Trap 2.5"/>
    <m/>
    <x v="0"/>
    <s v="Reference"/>
    <x v="2"/>
    <s v="Fall"/>
    <n v="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d v="2000-09-18T00:00:00"/>
    <s v="Trap 3"/>
    <m/>
    <x v="1"/>
    <s v="Restricted"/>
    <x v="2"/>
    <s v="Fall"/>
    <n v="1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2.5"/>
    <m/>
    <m/>
    <m/>
  </r>
  <r>
    <d v="2000-09-19T00:00:00"/>
    <s v="Boomerang"/>
    <m/>
    <x v="2"/>
    <s v="Pannes Cleared"/>
    <x v="2"/>
    <s v="Fall"/>
    <n v="91"/>
    <n v="0"/>
    <n v="0"/>
    <n v="0"/>
    <m/>
    <m/>
    <m/>
    <m/>
    <m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93"/>
    <n v="2"/>
    <n v="1.1000000000000001"/>
    <m/>
    <m/>
    <m/>
  </r>
  <r>
    <d v="2000-09-19T00:00:00"/>
    <s v="Doughnut Hole"/>
    <m/>
    <x v="2"/>
    <s v="Pannes Cleared"/>
    <x v="2"/>
    <s v="Fall"/>
    <n v="358"/>
    <n v="0"/>
    <n v="0"/>
    <n v="0"/>
    <m/>
    <m/>
    <m/>
    <m/>
    <m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360"/>
    <n v="2"/>
    <n v="2.65"/>
    <m/>
    <m/>
    <m/>
  </r>
  <r>
    <d v="2000-09-19T00:00:00"/>
    <s v="Trap 1"/>
    <m/>
    <x v="0"/>
    <s v="Reference"/>
    <x v="2"/>
    <s v="Fall"/>
    <n v="98"/>
    <n v="0"/>
    <n v="0"/>
    <n v="0"/>
    <m/>
    <m/>
    <m/>
    <m/>
    <m/>
    <n v="0"/>
    <n v="0"/>
    <n v="0"/>
    <n v="0"/>
    <n v="0"/>
    <n v="0"/>
    <n v="0"/>
    <n v="0"/>
    <n v="8"/>
    <n v="0"/>
    <n v="0"/>
    <n v="0"/>
    <n v="0"/>
    <n v="0"/>
    <n v="0"/>
    <n v="0"/>
    <n v="0"/>
    <n v="0"/>
    <n v="0"/>
    <n v="106"/>
    <n v="2"/>
    <n v="2.6"/>
    <m/>
    <m/>
    <m/>
  </r>
  <r>
    <d v="2000-09-19T00:00:00"/>
    <s v="Trap 2"/>
    <m/>
    <x v="0"/>
    <s v="Reference"/>
    <x v="2"/>
    <s v="Fall"/>
    <n v="77"/>
    <n v="0"/>
    <n v="0"/>
    <n v="0"/>
    <m/>
    <m/>
    <m/>
    <m/>
    <m/>
    <n v="0"/>
    <n v="0"/>
    <n v="0"/>
    <n v="0"/>
    <n v="0"/>
    <n v="0"/>
    <n v="0"/>
    <n v="0"/>
    <n v="11"/>
    <n v="0"/>
    <n v="0"/>
    <n v="0"/>
    <n v="0"/>
    <n v="0"/>
    <n v="0"/>
    <n v="0"/>
    <n v="0"/>
    <n v="0"/>
    <n v="0"/>
    <n v="88"/>
    <n v="2"/>
    <n v="1.97"/>
    <m/>
    <m/>
    <m/>
  </r>
  <r>
    <d v="2000-09-19T00:00:00"/>
    <s v="Trap 2.5"/>
    <m/>
    <x v="0"/>
    <s v="Reference"/>
    <x v="2"/>
    <s v="Fall"/>
    <n v="67"/>
    <n v="0"/>
    <n v="0"/>
    <n v="0"/>
    <m/>
    <m/>
    <m/>
    <m/>
    <m/>
    <n v="0"/>
    <n v="0"/>
    <n v="0"/>
    <n v="0"/>
    <n v="0"/>
    <n v="0"/>
    <n v="0"/>
    <n v="0"/>
    <n v="22"/>
    <n v="0"/>
    <n v="0"/>
    <n v="0"/>
    <n v="0"/>
    <n v="0"/>
    <n v="0"/>
    <n v="0"/>
    <n v="0"/>
    <n v="0"/>
    <n v="0"/>
    <n v="89"/>
    <n v="2"/>
    <n v="2.8"/>
    <m/>
    <m/>
    <m/>
  </r>
  <r>
    <d v="2000-09-19T00:00:00"/>
    <s v="Trap 3"/>
    <m/>
    <x v="1"/>
    <s v="Restricted"/>
    <x v="2"/>
    <s v="Fall"/>
    <n v="2"/>
    <n v="0"/>
    <n v="0"/>
    <n v="0"/>
    <m/>
    <m/>
    <m/>
    <m/>
    <m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3"/>
    <n v="2"/>
    <n v="2.5"/>
    <m/>
    <m/>
    <m/>
  </r>
  <r>
    <d v="2000-09-21T00:00:00"/>
    <s v="Boomerang"/>
    <m/>
    <x v="2"/>
    <s v="Pannes Cleared"/>
    <x v="2"/>
    <s v="Fall"/>
    <n v="65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"/>
    <n v="1"/>
    <n v="2.29"/>
    <m/>
    <m/>
    <m/>
  </r>
  <r>
    <d v="2000-09-21T00:00:00"/>
    <s v="Doughnut Hole"/>
    <m/>
    <x v="2"/>
    <s v="Pannes Cleared"/>
    <x v="2"/>
    <s v="Fall"/>
    <n v="244"/>
    <n v="0"/>
    <n v="0"/>
    <n v="1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5"/>
    <n v="2"/>
    <n v="3.42"/>
    <m/>
    <m/>
    <m/>
  </r>
  <r>
    <d v="2000-09-21T00:00:00"/>
    <s v="Trap 1"/>
    <m/>
    <x v="0"/>
    <s v="Reference"/>
    <x v="2"/>
    <s v="Fall"/>
    <m/>
    <n v="0"/>
    <n v="0"/>
    <n v="0"/>
    <m/>
    <m/>
    <m/>
    <m/>
    <m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1"/>
    <m/>
    <m/>
    <m/>
    <m/>
  </r>
  <r>
    <d v="2000-09-21T00:00:00"/>
    <s v="Trap 2"/>
    <m/>
    <x v="0"/>
    <s v="Reference"/>
    <x v="2"/>
    <s v="Fall"/>
    <n v="70"/>
    <n v="0"/>
    <n v="0"/>
    <n v="0"/>
    <m/>
    <m/>
    <m/>
    <m/>
    <m/>
    <n v="0"/>
    <n v="0"/>
    <n v="0"/>
    <n v="0"/>
    <n v="0"/>
    <n v="0"/>
    <n v="0"/>
    <n v="0"/>
    <n v="6"/>
    <n v="2"/>
    <n v="0"/>
    <n v="0"/>
    <n v="0"/>
    <n v="0"/>
    <n v="0"/>
    <n v="0"/>
    <n v="0"/>
    <n v="0"/>
    <n v="0"/>
    <n v="78"/>
    <n v="3"/>
    <n v="1.7"/>
    <m/>
    <m/>
    <m/>
  </r>
  <r>
    <d v="2000-09-21T00:00:00"/>
    <s v="Trap 2.5"/>
    <m/>
    <x v="0"/>
    <s v="Reference"/>
    <x v="2"/>
    <s v="Fall"/>
    <n v="125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5"/>
    <n v="1"/>
    <n v="2"/>
    <m/>
    <m/>
    <m/>
  </r>
  <r>
    <d v="2000-09-21T00:00:00"/>
    <s v="Trap 3"/>
    <m/>
    <x v="1"/>
    <s v="Restricted"/>
    <x v="2"/>
    <s v="Fall"/>
    <n v="2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1"/>
    <n v="3.5"/>
    <m/>
    <m/>
    <m/>
  </r>
  <r>
    <d v="2000-09-29T00:00:00"/>
    <s v="Trap 1"/>
    <m/>
    <x v="0"/>
    <s v="Reference"/>
    <x v="2"/>
    <s v="Fall"/>
    <n v="4"/>
    <n v="0"/>
    <n v="0"/>
    <n v="0"/>
    <m/>
    <m/>
    <m/>
    <m/>
    <m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5"/>
    <n v="2"/>
    <n v="1.5"/>
    <m/>
    <m/>
    <m/>
  </r>
  <r>
    <d v="2000-09-29T00:00:00"/>
    <s v="Trap 2"/>
    <m/>
    <x v="0"/>
    <s v="Reference"/>
    <x v="2"/>
    <s v="Fall"/>
    <n v="2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"/>
    <n v="2"/>
    <m/>
    <m/>
    <m/>
  </r>
  <r>
    <d v="2000-09-29T00:00:00"/>
    <s v="Trap 2.5"/>
    <m/>
    <x v="0"/>
    <s v="Reference"/>
    <x v="2"/>
    <s v="Fall"/>
    <n v="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d v="2000-09-29T00:00:00"/>
    <s v="Trap 3"/>
    <m/>
    <x v="1"/>
    <s v="Restricted"/>
    <x v="2"/>
    <s v="Fall"/>
    <n v="15"/>
    <n v="0"/>
    <n v="0"/>
    <n v="0"/>
    <m/>
    <m/>
    <m/>
    <m/>
    <m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18"/>
    <n v="2"/>
    <n v="2.66"/>
    <m/>
    <m/>
    <m/>
  </r>
  <r>
    <d v="2000-09-29T00:00:00"/>
    <s v="Boomerang"/>
    <m/>
    <x v="2"/>
    <s v="Pannes Cleared"/>
    <x v="2"/>
    <s v="Fall"/>
    <n v="293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3"/>
    <n v="1"/>
    <n v="2.86"/>
    <m/>
    <m/>
    <m/>
  </r>
  <r>
    <d v="2000-09-29T00:00:00"/>
    <s v="Doughnut Hole"/>
    <m/>
    <x v="2"/>
    <s v="Pannes Cleared"/>
    <x v="2"/>
    <s v="Fall"/>
    <n v="326"/>
    <n v="0"/>
    <n v="0"/>
    <n v="0"/>
    <m/>
    <m/>
    <m/>
    <m/>
    <m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327"/>
    <n v="2"/>
    <n v="2.98"/>
    <m/>
    <m/>
    <m/>
  </r>
  <r>
    <d v="2001-04-02T00:00:00"/>
    <s v="Trap 2.5"/>
    <m/>
    <x v="0"/>
    <s v="Reference"/>
    <x v="3"/>
    <s v="Spring"/>
    <n v="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d v="2001-04-02T00:00:00"/>
    <s v="Trap 3"/>
    <m/>
    <x v="1"/>
    <s v="Restricted"/>
    <x v="3"/>
    <s v="Spring"/>
    <n v="0"/>
    <n v="0"/>
    <n v="0"/>
    <n v="1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m/>
    <m/>
    <m/>
    <m/>
  </r>
  <r>
    <d v="2001-04-02T00:00:00"/>
    <s v="Boomerang"/>
    <m/>
    <x v="2"/>
    <s v="Pannes Cleared"/>
    <x v="3"/>
    <s v="Spring"/>
    <n v="0"/>
    <n v="0"/>
    <n v="2"/>
    <n v="3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2"/>
    <m/>
    <m/>
    <m/>
    <m/>
  </r>
  <r>
    <d v="2001-04-02T00:00:00"/>
    <s v="Doughnut Hole"/>
    <m/>
    <x v="2"/>
    <s v="Pannes Cleared"/>
    <x v="3"/>
    <s v="Spring"/>
    <n v="45"/>
    <n v="0"/>
    <n v="6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"/>
    <n v="2"/>
    <n v="1.8888888888888888"/>
    <m/>
    <m/>
    <s v="Doughnut Hole much more shallow this year "/>
  </r>
  <r>
    <d v="2001-06-11T00:00:00"/>
    <s v="Trap 1"/>
    <m/>
    <x v="0"/>
    <s v="Reference"/>
    <x v="3"/>
    <s v="Spring"/>
    <n v="182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2"/>
    <n v="1"/>
    <n v="3.5714285714285716"/>
    <m/>
    <m/>
    <s v="( sedimentation?) and more elongated in shape"/>
  </r>
  <r>
    <d v="2001-06-11T00:00:00"/>
    <s v="Trap 2"/>
    <m/>
    <x v="0"/>
    <s v="Reference"/>
    <x v="3"/>
    <s v="Spring"/>
    <n v="95"/>
    <n v="0"/>
    <n v="0"/>
    <n v="0"/>
    <m/>
    <m/>
    <m/>
    <m/>
    <m/>
    <n v="0"/>
    <n v="0"/>
    <n v="0"/>
    <n v="0"/>
    <n v="0"/>
    <n v="0"/>
    <n v="0"/>
    <n v="0"/>
    <n v="1"/>
    <n v="0"/>
    <n v="0"/>
    <n v="0"/>
    <n v="1"/>
    <n v="1"/>
    <n v="0"/>
    <n v="0"/>
    <n v="0"/>
    <n v="0"/>
    <n v="0"/>
    <n v="98"/>
    <n v="4"/>
    <n v="3.4210526315789473"/>
    <m/>
    <n v="2"/>
    <m/>
  </r>
  <r>
    <d v="2001-06-11T00:00:00"/>
    <s v="Trap 2.5"/>
    <m/>
    <x v="0"/>
    <s v="Reference"/>
    <x v="3"/>
    <s v="Spring"/>
    <n v="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d v="2001-06-11T00:00:00"/>
    <s v="Trap 3"/>
    <m/>
    <x v="1"/>
    <s v="Restricted"/>
    <x v="3"/>
    <s v="Spring"/>
    <n v="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d v="2001-06-11T00:00:00"/>
    <s v="Boomerang"/>
    <m/>
    <x v="2"/>
    <s v="Pannes Cleared"/>
    <x v="3"/>
    <s v="Spring"/>
    <n v="82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"/>
    <n v="1"/>
    <n v="1.9512195121951219"/>
    <m/>
    <m/>
    <m/>
  </r>
  <r>
    <d v="2001-06-11T00:00:00"/>
    <s v="Doughnut Hole"/>
    <m/>
    <x v="2"/>
    <s v="Pannes Cleared"/>
    <x v="3"/>
    <s v="Spring"/>
    <s v="~10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"/>
    <n v="1"/>
    <m/>
    <m/>
    <m/>
    <m/>
  </r>
  <r>
    <d v="2001-06-12T00:00:00"/>
    <s v="Trap 1"/>
    <m/>
    <x v="0"/>
    <s v="Reference"/>
    <x v="3"/>
    <s v="Spring"/>
    <n v="84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"/>
    <n v="1"/>
    <n v="3.5714285714285716"/>
    <m/>
    <m/>
    <m/>
  </r>
  <r>
    <d v="2001-06-12T00:00:00"/>
    <s v="Trap 2"/>
    <m/>
    <x v="0"/>
    <s v="Reference"/>
    <x v="3"/>
    <s v="Spring"/>
    <n v="47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48"/>
    <n v="2"/>
    <n v="4.042553191489362"/>
    <m/>
    <m/>
    <m/>
  </r>
  <r>
    <d v="2001-06-12T00:00:00"/>
    <s v="Trap 2.5"/>
    <m/>
    <x v="0"/>
    <s v="Reference"/>
    <x v="3"/>
    <s v="Spring"/>
    <n v="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d v="2001-06-12T00:00:00"/>
    <s v="Trap 3"/>
    <m/>
    <x v="1"/>
    <s v="Restricted"/>
    <x v="3"/>
    <s v="Spring"/>
    <n v="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d v="2001-06-12T00:00:00"/>
    <s v="Boomerang"/>
    <m/>
    <x v="2"/>
    <s v="Pannes Cleared"/>
    <x v="3"/>
    <s v="Spring"/>
    <n v="137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7"/>
    <n v="1"/>
    <n v="1.9562043795620438"/>
    <m/>
    <m/>
    <m/>
  </r>
  <r>
    <d v="2001-06-12T00:00:00"/>
    <s v="Boomerang"/>
    <m/>
    <x v="2"/>
    <s v="Pannes Cleared"/>
    <x v="3"/>
    <s v="Spring"/>
    <n v="36"/>
    <n v="0"/>
    <n v="1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"/>
    <n v="2"/>
    <n v="2.3611111111111112"/>
    <m/>
    <m/>
    <m/>
  </r>
  <r>
    <d v="2001-06-13T00:00:00"/>
    <s v="Trap 1"/>
    <m/>
    <x v="0"/>
    <s v="Reference"/>
    <x v="3"/>
    <s v="Spring"/>
    <n v="179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"/>
    <n v="1"/>
    <n v="3.6312849162011172"/>
    <m/>
    <m/>
    <m/>
  </r>
  <r>
    <d v="2001-06-13T00:00:00"/>
    <s v="Trap 2"/>
    <m/>
    <x v="0"/>
    <s v="Reference"/>
    <x v="3"/>
    <s v="Spring"/>
    <n v="82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"/>
    <n v="1"/>
    <n v="3.8414634146341462"/>
    <m/>
    <m/>
    <m/>
  </r>
  <r>
    <d v="2001-06-13T00:00:00"/>
    <s v="Trap 2.5"/>
    <m/>
    <x v="0"/>
    <s v="Reference"/>
    <x v="3"/>
    <s v="Spring"/>
    <n v="1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3"/>
    <m/>
    <m/>
    <m/>
  </r>
  <r>
    <d v="2001-06-13T00:00:00"/>
    <s v="Trap 3"/>
    <m/>
    <x v="1"/>
    <s v="Restricted"/>
    <x v="3"/>
    <s v="Spring"/>
    <n v="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</r>
  <r>
    <d v="2001-06-13T00:00:00"/>
    <s v="Boomerang"/>
    <m/>
    <x v="2"/>
    <s v="Pannes Cleared"/>
    <x v="3"/>
    <s v="Spring"/>
    <n v="92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"/>
    <n v="1"/>
    <n v="1.7391304347826086"/>
    <m/>
    <m/>
    <s v="&quot;aquatic walking stick&quot;"/>
  </r>
  <r>
    <d v="2001-06-13T00:00:00"/>
    <s v="Boomerang"/>
    <m/>
    <x v="2"/>
    <s v="Pannes Cleared"/>
    <x v="3"/>
    <s v="Spring"/>
    <n v="3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"/>
    <n v="2.7666666666666671"/>
    <m/>
    <m/>
    <m/>
  </r>
  <r>
    <d v="2001-06-14T00:00:00"/>
    <s v="Trap 1"/>
    <m/>
    <x v="0"/>
    <s v="Reference"/>
    <x v="3"/>
    <s v="Spring"/>
    <n v="123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4"/>
    <n v="0"/>
    <n v="0"/>
    <n v="0"/>
    <n v="0"/>
    <n v="0"/>
    <n v="127"/>
    <n v="2"/>
    <n v="5.8943089430894311"/>
    <m/>
    <m/>
    <m/>
  </r>
  <r>
    <d v="2001-06-14T00:00:00"/>
    <s v="Trap 2"/>
    <m/>
    <x v="0"/>
    <s v="Reference"/>
    <x v="3"/>
    <s v="Spring"/>
    <n v="59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60"/>
    <n v="2"/>
    <n v="3.1355932203389831"/>
    <m/>
    <m/>
    <m/>
  </r>
  <r>
    <d v="2001-06-14T00:00:00"/>
    <s v="Trap 2.5"/>
    <m/>
    <x v="0"/>
    <s v="Reference"/>
    <x v="3"/>
    <s v="Spring"/>
    <n v="1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4"/>
    <n v="2"/>
    <n v="3"/>
    <m/>
    <m/>
    <m/>
  </r>
  <r>
    <d v="2001-06-14T00:00:00"/>
    <s v="Trap 3"/>
    <m/>
    <x v="1"/>
    <s v="Restricted"/>
    <x v="3"/>
    <s v="Spring"/>
    <n v="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d v="2001-06-14T00:00:00"/>
    <s v="Boomerang"/>
    <m/>
    <x v="2"/>
    <s v="Pannes Cleared"/>
    <x v="3"/>
    <s v="Spring"/>
    <n v="32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34"/>
    <n v="2"/>
    <n v="2.71875"/>
    <m/>
    <m/>
    <m/>
  </r>
  <r>
    <d v="2001-06-14T00:00:00"/>
    <s v="Boomerang"/>
    <m/>
    <x v="2"/>
    <s v="Pannes Cleared"/>
    <x v="3"/>
    <s v="Spring"/>
    <n v="42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44"/>
    <n v="2"/>
    <n v="3.0952380952380953"/>
    <m/>
    <m/>
    <s v="&quot;mosquito cases&quot;"/>
  </r>
  <r>
    <d v="2001-09-27T00:00:00"/>
    <s v="Trap 3"/>
    <n v="22.17"/>
    <x v="1"/>
    <s v="Restricted"/>
    <x v="3"/>
    <s v="Fal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d v="2001-09-27T00:00:00"/>
    <s v="Trap 1"/>
    <n v="22.17"/>
    <x v="0"/>
    <s v="Reference"/>
    <x v="3"/>
    <s v="Fall"/>
    <n v="225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231"/>
    <n v="2"/>
    <n v="2.088888888888889"/>
    <m/>
    <n v="3.3333333333333335"/>
    <m/>
  </r>
  <r>
    <d v="2001-09-27T00:00:00"/>
    <s v="Doughnut Hole"/>
    <n v="18.5"/>
    <x v="2"/>
    <s v="Pannes Cleared"/>
    <x v="3"/>
    <s v="Fall"/>
    <n v="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8"/>
    <n v="2"/>
    <n v="1.4285714285714286"/>
    <m/>
    <n v="6"/>
    <m/>
  </r>
  <r>
    <d v="2001-09-27T00:00:00"/>
    <s v="Boomerang"/>
    <n v="18.5"/>
    <x v="2"/>
    <s v="Pannes Cleared"/>
    <x v="3"/>
    <s v="Fall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2"/>
    <n v="1"/>
    <m/>
    <m/>
    <n v="1.4"/>
    <m/>
  </r>
  <r>
    <d v="2001-09-28T00:00:00"/>
    <s v="Trap 2.5"/>
    <n v="24"/>
    <x v="0"/>
    <s v="Reference"/>
    <x v="3"/>
    <s v="Fall"/>
    <n v="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1"/>
    <n v="2"/>
    <n v="2"/>
    <m/>
    <n v="2"/>
    <m/>
  </r>
  <r>
    <d v="2001-09-28T00:00:00"/>
    <s v="Trap 3"/>
    <n v="24"/>
    <x v="1"/>
    <s v="Restricted"/>
    <x v="3"/>
    <s v="Fal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d v="2001-09-28T00:00:00"/>
    <s v="Doughnut Hole"/>
    <n v="24.33"/>
    <x v="2"/>
    <s v="Pannes Cleared"/>
    <x v="3"/>
    <s v="Fall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"/>
    <n v="1.3333333333333333"/>
    <m/>
    <m/>
    <m/>
  </r>
  <r>
    <d v="2001-09-28T00:00:00"/>
    <s v="Boomerang"/>
    <n v="24.5"/>
    <x v="2"/>
    <s v="Pannes Cleared"/>
    <x v="3"/>
    <s v="Fall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2"/>
    <n v="1"/>
    <m/>
    <m/>
    <n v="3.5"/>
    <m/>
  </r>
  <r>
    <d v="2001-10-03T00:00:00"/>
    <s v="Trap 1"/>
    <n v="17.170000000000002"/>
    <x v="0"/>
    <s v="Reference"/>
    <x v="3"/>
    <s v="Fall"/>
    <n v="1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3"/>
    <n v="2"/>
    <n v="1.6666666666666667"/>
    <m/>
    <n v="2.5"/>
    <m/>
  </r>
  <r>
    <d v="2001-10-03T00:00:00"/>
    <s v="Trap 2"/>
    <n v="17.170000000000002"/>
    <x v="0"/>
    <s v="Reference"/>
    <x v="3"/>
    <s v="Fall"/>
    <n v="45"/>
    <n v="0"/>
    <n v="0"/>
    <n v="0"/>
    <n v="0"/>
    <n v="0"/>
    <n v="0"/>
    <n v="0"/>
    <n v="0"/>
    <n v="0"/>
    <n v="0"/>
    <n v="0"/>
    <n v="0"/>
    <n v="0"/>
    <n v="0"/>
    <n v="0"/>
    <n v="0"/>
    <n v="12"/>
    <n v="0"/>
    <n v="0"/>
    <n v="0"/>
    <n v="0"/>
    <n v="0"/>
    <n v="0"/>
    <n v="0"/>
    <n v="0"/>
    <n v="0"/>
    <n v="0"/>
    <n v="57"/>
    <n v="2"/>
    <n v="1.6888888888888889"/>
    <m/>
    <m/>
    <m/>
  </r>
  <r>
    <d v="2001-10-03T00:00:00"/>
    <s v="Trap 2.5"/>
    <n v="17.170000000000002"/>
    <x v="0"/>
    <s v="Reference"/>
    <x v="3"/>
    <s v="Fall"/>
    <n v="58"/>
    <n v="0"/>
    <n v="0"/>
    <n v="0"/>
    <n v="0"/>
    <n v="0"/>
    <n v="0"/>
    <n v="0"/>
    <n v="0"/>
    <n v="0"/>
    <n v="0"/>
    <n v="0"/>
    <n v="1"/>
    <n v="0"/>
    <n v="0"/>
    <n v="0"/>
    <n v="0"/>
    <n v="2"/>
    <n v="0"/>
    <n v="0"/>
    <n v="0"/>
    <n v="0"/>
    <n v="0"/>
    <n v="0"/>
    <n v="1"/>
    <n v="0"/>
    <n v="0"/>
    <n v="0"/>
    <n v="62"/>
    <n v="4"/>
    <n v="1.1206896551724137"/>
    <m/>
    <m/>
    <m/>
  </r>
  <r>
    <d v="2001-10-03T00:00:00"/>
    <s v="Trap 3"/>
    <n v="17.170000000000002"/>
    <x v="1"/>
    <s v="Restricted"/>
    <x v="3"/>
    <s v="Fall"/>
    <n v="2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6"/>
    <n v="2"/>
    <n v="1"/>
    <m/>
    <n v="3.5"/>
    <m/>
  </r>
  <r>
    <d v="2001-10-03T00:00:00"/>
    <s v="Doughnut Hole"/>
    <n v="17.5"/>
    <x v="2"/>
    <s v="Pannes Cleared"/>
    <x v="3"/>
    <s v="Fall"/>
    <n v="61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618"/>
    <n v="2"/>
    <n v="2.0178282009724473"/>
    <m/>
    <m/>
    <m/>
  </r>
  <r>
    <d v="2001-10-03T00:00:00"/>
    <s v="Boomerang"/>
    <n v="17.5"/>
    <x v="2"/>
    <s v="Pannes Cleared"/>
    <x v="3"/>
    <s v="Fall"/>
    <n v="30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310"/>
    <n v="2"/>
    <n v="1.5954692556634305"/>
    <m/>
    <n v="5"/>
    <m/>
  </r>
  <r>
    <d v="2001-10-02T00:00:00"/>
    <s v="Trap 1"/>
    <n v="17"/>
    <x v="0"/>
    <s v="Reference"/>
    <x v="3"/>
    <s v="Fall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1"/>
    <n v="1.75"/>
    <m/>
    <m/>
    <m/>
  </r>
  <r>
    <d v="2001-10-02T00:00:00"/>
    <s v="Trap 2"/>
    <n v="17"/>
    <x v="0"/>
    <s v="Reference"/>
    <x v="3"/>
    <s v="Fall"/>
    <n v="41"/>
    <n v="0"/>
    <n v="0"/>
    <n v="0"/>
    <n v="0"/>
    <n v="0"/>
    <n v="0"/>
    <n v="0"/>
    <n v="0"/>
    <n v="0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44"/>
    <n v="4"/>
    <n v="2.4634146341463414"/>
    <m/>
    <m/>
    <m/>
  </r>
  <r>
    <d v="2001-10-02T00:00:00"/>
    <s v="Trap 2.5"/>
    <n v="17"/>
    <x v="0"/>
    <s v="Reference"/>
    <x v="3"/>
    <s v="Fall"/>
    <n v="15"/>
    <n v="0"/>
    <n v="0"/>
    <n v="0"/>
    <n v="0"/>
    <n v="0"/>
    <n v="0"/>
    <n v="0"/>
    <n v="0"/>
    <n v="0"/>
    <n v="1"/>
    <n v="1"/>
    <n v="0"/>
    <n v="0"/>
    <n v="1"/>
    <n v="0"/>
    <n v="0"/>
    <n v="2"/>
    <n v="0"/>
    <n v="0"/>
    <n v="0"/>
    <n v="0"/>
    <n v="0"/>
    <n v="0"/>
    <n v="0"/>
    <n v="0"/>
    <n v="0"/>
    <n v="0"/>
    <n v="20"/>
    <n v="5"/>
    <n v="1.6666666666666667"/>
    <m/>
    <m/>
    <m/>
  </r>
  <r>
    <d v="2001-10-02T00:00:00"/>
    <s v="Trap 3"/>
    <n v="17"/>
    <x v="1"/>
    <s v="Restricted"/>
    <x v="3"/>
    <s v="Fall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2"/>
    <n v="1"/>
    <m/>
    <m/>
    <n v="2"/>
    <m/>
  </r>
  <r>
    <d v="2001-10-02T00:00:00"/>
    <s v="Doughnut Hole"/>
    <n v="17"/>
    <x v="2"/>
    <s v="Pannes Cleared"/>
    <x v="3"/>
    <s v="Fall"/>
    <n v="906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907"/>
    <n v="2"/>
    <n v="7"/>
    <m/>
    <m/>
    <m/>
  </r>
  <r>
    <d v="2001-10-02T00:00:00"/>
    <s v="Boomerang"/>
    <n v="17"/>
    <x v="2"/>
    <s v="Pannes Cleared"/>
    <x v="3"/>
    <s v="Fall"/>
    <n v="61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612"/>
    <n v="2"/>
    <n v="0.93289689034369883"/>
    <m/>
    <m/>
    <m/>
  </r>
  <r>
    <d v="2002-04-04T00:00:00"/>
    <s v="Jelly Bean"/>
    <n v="1.5"/>
    <x v="2"/>
    <s v="Pannes Cleared"/>
    <x v="4"/>
    <s v="Spring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"/>
    <n v="1.6666666666666667"/>
    <m/>
    <m/>
    <m/>
  </r>
  <r>
    <d v="2002-04-04T00:00:00"/>
    <s v="Trap 3"/>
    <n v="4"/>
    <x v="1"/>
    <s v="Restricted"/>
    <x v="4"/>
    <s v="Spring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s v="was not submerged"/>
  </r>
  <r>
    <d v="2002-04-04T00:00:00"/>
    <s v="Boomerang"/>
    <n v="1.5"/>
    <x v="2"/>
    <s v="Pannes Cleared"/>
    <x v="4"/>
    <s v="Spring"/>
    <n v="55"/>
    <n v="0"/>
    <n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"/>
    <n v="2"/>
    <n v="3.9090909090909092"/>
    <m/>
    <m/>
    <m/>
  </r>
  <r>
    <d v="2002-04-04T00:00:00"/>
    <s v="Boomerang"/>
    <n v="1.5"/>
    <x v="2"/>
    <s v="Pannes Cleared"/>
    <x v="4"/>
    <s v="Spring"/>
    <n v="6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"/>
    <n v="2"/>
    <n v="2.890625"/>
    <m/>
    <m/>
    <m/>
  </r>
  <r>
    <d v="2002-04-04T00:00:00"/>
    <s v="Doughnut Hole"/>
    <n v="1.5"/>
    <x v="2"/>
    <s v="Pannes Cleared"/>
    <x v="4"/>
    <s v="Spring"/>
    <n v="122"/>
    <n v="0"/>
    <n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1"/>
    <n v="2"/>
    <n v="3.278688524590164"/>
    <m/>
    <m/>
    <m/>
  </r>
  <r>
    <d v="2002-09-09T00:00:00"/>
    <s v="Trap 2.5"/>
    <n v="15.5"/>
    <x v="0"/>
    <s v="Reference"/>
    <x v="4"/>
    <s v="Fall"/>
    <n v="1"/>
    <n v="0"/>
    <n v="0"/>
    <n v="0"/>
    <m/>
    <m/>
    <m/>
    <m/>
    <m/>
    <n v="0"/>
    <m/>
    <n v="0"/>
    <n v="0"/>
    <n v="0"/>
    <n v="0"/>
    <n v="0"/>
    <n v="0"/>
    <n v="1"/>
    <n v="0"/>
    <n v="0"/>
    <n v="0"/>
    <n v="0"/>
    <n v="0"/>
    <n v="0"/>
    <n v="0"/>
    <n v="0"/>
    <n v="0"/>
    <n v="0"/>
    <n v="2"/>
    <n v="2"/>
    <n v="1"/>
    <m/>
    <n v="1"/>
    <s v="We didn't put traps 1 and 2 because wrack "/>
  </r>
  <r>
    <d v="2002-09-09T00:00:00"/>
    <s v="Trap 3"/>
    <n v="15.5"/>
    <x v="1"/>
    <s v="Restricted"/>
    <x v="4"/>
    <s v="Fall"/>
    <n v="3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5"/>
    <n v="2"/>
    <n v="3.3"/>
    <m/>
    <n v="5"/>
    <s v="filled the river channel"/>
  </r>
  <r>
    <d v="2002-09-09T00:00:00"/>
    <s v="Doughnut Hole"/>
    <n v="15.5"/>
    <x v="2"/>
    <s v="Pannes Cleared"/>
    <x v="4"/>
    <s v="Fall"/>
    <n v="324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326"/>
    <n v="2"/>
    <n v="3.04"/>
    <m/>
    <n v="2.5"/>
    <m/>
  </r>
  <r>
    <d v="2002-09-09T00:00:00"/>
    <s v="Boomerang"/>
    <n v="15.5"/>
    <x v="2"/>
    <s v="Pannes Cleared"/>
    <x v="4"/>
    <s v="Fall"/>
    <n v="441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446"/>
    <n v="2"/>
    <n v="2.58"/>
    <m/>
    <n v="2.6"/>
    <m/>
  </r>
  <r>
    <d v="2002-09-10T00:00:00"/>
    <s v="Trap 3"/>
    <n v="23.75"/>
    <x v="1"/>
    <s v="Restricted"/>
    <x v="4"/>
    <s v="Fall"/>
    <n v="3"/>
    <n v="0"/>
    <n v="0"/>
    <n v="0"/>
    <m/>
    <m/>
    <m/>
    <m/>
    <m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5"/>
    <n v="2"/>
    <n v="1.7"/>
    <m/>
    <n v="2"/>
    <m/>
  </r>
  <r>
    <d v="2002-09-10T00:00:00"/>
    <s v="Trap 2.5"/>
    <n v="23.75"/>
    <x v="0"/>
    <s v="Reference"/>
    <x v="4"/>
    <s v="Fall"/>
    <n v="97"/>
    <n v="0"/>
    <n v="0"/>
    <n v="0"/>
    <m/>
    <m/>
    <m/>
    <m/>
    <m/>
    <n v="0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103"/>
    <n v="2"/>
    <n v="1.9"/>
    <m/>
    <n v="2.5"/>
    <m/>
  </r>
  <r>
    <d v="2002-09-10T00:00:00"/>
    <s v="Boomerang"/>
    <n v="23.75"/>
    <x v="2"/>
    <s v="Pannes Cleared"/>
    <x v="4"/>
    <s v="Fall"/>
    <n v="320"/>
    <n v="0"/>
    <n v="0"/>
    <n v="0"/>
    <m/>
    <m/>
    <m/>
    <m/>
    <m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323"/>
    <n v="2"/>
    <n v="2.4"/>
    <m/>
    <n v="13.3"/>
    <m/>
  </r>
  <r>
    <d v="2002-09-10T00:00:00"/>
    <s v="Doughnut Hole"/>
    <n v="23.75"/>
    <x v="2"/>
    <s v="Pannes Cleared"/>
    <x v="4"/>
    <s v="Fall"/>
    <n v="252"/>
    <n v="0"/>
    <n v="0"/>
    <n v="0"/>
    <m/>
    <m/>
    <m/>
    <m/>
    <m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255"/>
    <n v="2"/>
    <n v="3.65"/>
    <m/>
    <n v="2"/>
    <m/>
  </r>
  <r>
    <d v="2002-09-11T00:00:00"/>
    <s v="Trap 3"/>
    <n v="24"/>
    <x v="1"/>
    <s v="Restricted"/>
    <x v="4"/>
    <s v="Fall"/>
    <n v="11"/>
    <n v="0"/>
    <n v="0"/>
    <n v="0"/>
    <m/>
    <m/>
    <m/>
    <m/>
    <m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1"/>
    <n v="14"/>
    <n v="3"/>
    <n v="0.9"/>
    <m/>
    <n v="1"/>
    <m/>
  </r>
  <r>
    <d v="2002-09-11T00:00:00"/>
    <s v="Trap 2.5"/>
    <n v="24"/>
    <x v="0"/>
    <s v="Reference"/>
    <x v="4"/>
    <s v="Fall"/>
    <n v="77"/>
    <n v="0"/>
    <n v="0"/>
    <n v="0"/>
    <m/>
    <m/>
    <m/>
    <m/>
    <m/>
    <n v="0"/>
    <n v="0"/>
    <n v="0"/>
    <n v="0"/>
    <n v="0"/>
    <n v="0"/>
    <n v="0"/>
    <n v="0"/>
    <n v="12"/>
    <n v="0"/>
    <n v="0"/>
    <n v="0"/>
    <n v="0"/>
    <n v="0"/>
    <n v="0"/>
    <n v="0"/>
    <n v="0"/>
    <n v="0"/>
    <n v="0"/>
    <n v="89"/>
    <n v="2"/>
    <n v="1.4"/>
    <m/>
    <n v="16.670000000000002"/>
    <m/>
  </r>
  <r>
    <d v="2002-09-11T00:00:00"/>
    <s v="Boomerang"/>
    <n v="24"/>
    <x v="2"/>
    <s v="Pannes Cleared"/>
    <x v="4"/>
    <s v="Fall"/>
    <n v="260"/>
    <n v="0"/>
    <n v="0"/>
    <n v="0"/>
    <m/>
    <m/>
    <m/>
    <m/>
    <m/>
    <n v="0"/>
    <n v="0"/>
    <n v="0"/>
    <n v="0"/>
    <n v="0"/>
    <n v="0"/>
    <n v="0"/>
    <n v="0"/>
    <n v="9"/>
    <n v="0"/>
    <n v="0"/>
    <n v="0"/>
    <n v="0"/>
    <n v="0"/>
    <n v="0"/>
    <n v="0"/>
    <n v="0"/>
    <n v="0"/>
    <n v="0"/>
    <n v="269"/>
    <n v="2"/>
    <n v="2.4"/>
    <m/>
    <m/>
    <m/>
  </r>
  <r>
    <d v="2002-09-11T00:00:00"/>
    <s v="Doughnut Hole"/>
    <n v="24"/>
    <x v="2"/>
    <s v="Pannes Cleared"/>
    <x v="4"/>
    <s v="Fall"/>
    <n v="160"/>
    <n v="0"/>
    <n v="0"/>
    <n v="0"/>
    <m/>
    <m/>
    <m/>
    <m/>
    <m/>
    <n v="0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166"/>
    <n v="2"/>
    <n v="3.63"/>
    <m/>
    <n v="5"/>
    <m/>
  </r>
  <r>
    <d v="2002-09-12T00:00:00"/>
    <s v="Doughnut Hole"/>
    <n v="23.75"/>
    <x v="2"/>
    <s v="Pannes Cleared"/>
    <x v="4"/>
    <s v="Fall"/>
    <n v="205"/>
    <n v="0"/>
    <n v="0"/>
    <n v="0"/>
    <m/>
    <m/>
    <m/>
    <m/>
    <m/>
    <n v="0"/>
    <n v="0"/>
    <n v="0"/>
    <n v="0"/>
    <n v="0"/>
    <n v="0"/>
    <n v="0"/>
    <n v="0"/>
    <n v="15"/>
    <n v="0"/>
    <n v="0"/>
    <n v="0"/>
    <n v="0"/>
    <n v="0"/>
    <n v="0"/>
    <n v="0"/>
    <n v="0"/>
    <n v="0"/>
    <n v="0"/>
    <n v="220"/>
    <n v="2"/>
    <n v="3.94"/>
    <m/>
    <n v="4.3"/>
    <m/>
  </r>
  <r>
    <d v="2002-09-12T00:00:00"/>
    <s v="Trap 2.5"/>
    <n v="23.75"/>
    <x v="0"/>
    <s v="Reference"/>
    <x v="4"/>
    <s v="Fall"/>
    <n v="122"/>
    <n v="0"/>
    <n v="0"/>
    <n v="0"/>
    <m/>
    <m/>
    <m/>
    <m/>
    <m/>
    <n v="0"/>
    <n v="0"/>
    <n v="1"/>
    <n v="0"/>
    <n v="0"/>
    <n v="0"/>
    <n v="0"/>
    <n v="0"/>
    <n v="18"/>
    <n v="0"/>
    <n v="0"/>
    <n v="0"/>
    <n v="0"/>
    <n v="0"/>
    <n v="0"/>
    <n v="0"/>
    <n v="0"/>
    <n v="0"/>
    <n v="0"/>
    <n v="141"/>
    <n v="3"/>
    <n v="2.17"/>
    <n v="15"/>
    <n v="4.4000000000000004"/>
    <m/>
  </r>
  <r>
    <d v="2002-09-12T00:00:00"/>
    <s v="Trap 3"/>
    <n v="23.75"/>
    <x v="1"/>
    <s v="Restricted"/>
    <x v="4"/>
    <s v="Fall"/>
    <n v="3"/>
    <n v="0"/>
    <n v="0"/>
    <n v="0"/>
    <m/>
    <m/>
    <m/>
    <m/>
    <m/>
    <n v="0"/>
    <n v="0"/>
    <n v="0"/>
    <n v="0"/>
    <n v="0"/>
    <n v="0"/>
    <n v="0"/>
    <n v="0"/>
    <n v="8"/>
    <n v="0"/>
    <n v="0"/>
    <n v="0"/>
    <n v="0"/>
    <n v="0"/>
    <n v="0"/>
    <n v="0"/>
    <n v="0"/>
    <n v="0"/>
    <n v="0"/>
    <n v="11"/>
    <n v="2"/>
    <n v="1.6"/>
    <m/>
    <n v="4.4000000000000004"/>
    <m/>
  </r>
  <r>
    <d v="2002-09-12T00:00:00"/>
    <s v="Boomerang"/>
    <n v="23.75"/>
    <x v="2"/>
    <s v="Pannes Cleared"/>
    <x v="4"/>
    <s v="Fall"/>
    <n v="127"/>
    <n v="0"/>
    <n v="0"/>
    <n v="0"/>
    <m/>
    <m/>
    <m/>
    <m/>
    <m/>
    <n v="0"/>
    <n v="0"/>
    <n v="0"/>
    <n v="0"/>
    <n v="0"/>
    <n v="0"/>
    <n v="0"/>
    <n v="0"/>
    <n v="17"/>
    <n v="0"/>
    <n v="0"/>
    <n v="0"/>
    <n v="0"/>
    <n v="0"/>
    <n v="0"/>
    <n v="0"/>
    <n v="0"/>
    <n v="0"/>
    <n v="0"/>
    <n v="144"/>
    <n v="2"/>
    <n v="3.46"/>
    <m/>
    <n v="3.53"/>
    <m/>
  </r>
  <r>
    <d v="2002-09-24T00:00:00"/>
    <s v="Trap 2.5"/>
    <n v="15.5"/>
    <x v="0"/>
    <s v="Reference"/>
    <x v="4"/>
    <s v="Fall"/>
    <n v="17"/>
    <n v="0"/>
    <n v="0"/>
    <n v="0"/>
    <m/>
    <m/>
    <m/>
    <m/>
    <m/>
    <n v="0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22"/>
    <n v="2"/>
    <m/>
    <m/>
    <m/>
    <m/>
  </r>
  <r>
    <d v="2002-09-24T00:00:00"/>
    <s v="Trap 3"/>
    <n v="15.5"/>
    <x v="1"/>
    <s v="Restricted"/>
    <x v="4"/>
    <s v="Fall"/>
    <n v="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d v="2002-09-26T00:00:00"/>
    <s v="Trap 2.5"/>
    <m/>
    <x v="0"/>
    <s v="Reference"/>
    <x v="4"/>
    <s v="Fall"/>
    <n v="17"/>
    <n v="0"/>
    <n v="0"/>
    <n v="0"/>
    <m/>
    <m/>
    <m/>
    <m/>
    <m/>
    <n v="0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22"/>
    <n v="2"/>
    <n v="3.8"/>
    <m/>
    <n v="4"/>
    <s v="Need trap set times"/>
  </r>
  <r>
    <d v="2002-09-26T00:00:00"/>
    <s v="Doughnut Hole"/>
    <m/>
    <x v="2"/>
    <s v="Pannes Cleared"/>
    <x v="4"/>
    <s v="Fall"/>
    <n v="252"/>
    <n v="0"/>
    <n v="0"/>
    <n v="0"/>
    <m/>
    <m/>
    <m/>
    <m/>
    <m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253"/>
    <n v="2"/>
    <n v="1.8"/>
    <m/>
    <n v="7"/>
    <m/>
  </r>
  <r>
    <d v="2002-10-15T00:00:00"/>
    <s v="Boomerang"/>
    <n v="4.5"/>
    <x v="2"/>
    <s v="Pannes Cleared"/>
    <x v="4"/>
    <s v="Fall"/>
    <n v="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s v="No fish in traps today"/>
  </r>
  <r>
    <d v="2002-10-15T00:00:00"/>
    <s v="Doughnut Hole"/>
    <n v="4.5"/>
    <x v="2"/>
    <s v="Pannes Cleared"/>
    <x v="4"/>
    <s v="Fall"/>
    <n v="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d v="2003-06-02T00:00:00"/>
    <s v="Boomerang"/>
    <n v="18.5"/>
    <x v="2"/>
    <s v="Pannes Cleared"/>
    <x v="5"/>
    <s v="Spring"/>
    <n v="106"/>
    <n v="0"/>
    <n v="0"/>
    <n v="0"/>
    <m/>
    <m/>
    <m/>
    <m/>
    <m/>
    <n v="0"/>
    <n v="0"/>
    <n v="0"/>
    <m/>
    <n v="0"/>
    <n v="0"/>
    <n v="0"/>
    <n v="0"/>
    <n v="0"/>
    <n v="0"/>
    <n v="0"/>
    <n v="0"/>
    <n v="0"/>
    <n v="0"/>
    <n v="0"/>
    <n v="0"/>
    <n v="0"/>
    <n v="0"/>
    <n v="0"/>
    <n v="106"/>
    <n v="0"/>
    <n v="4"/>
    <m/>
    <m/>
    <m/>
  </r>
  <r>
    <d v="2003-06-02T00:00:00"/>
    <s v="Doughnut Hole"/>
    <n v="18.5"/>
    <x v="2"/>
    <s v="Pannes Cleared"/>
    <x v="5"/>
    <s v="Spring"/>
    <n v="72"/>
    <n v="0"/>
    <n v="0"/>
    <n v="0"/>
    <m/>
    <m/>
    <m/>
    <m/>
    <m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73"/>
    <n v="2"/>
    <n v="4"/>
    <m/>
    <m/>
    <m/>
  </r>
  <r>
    <d v="2003-06-03T00:00:00"/>
    <s v="Trap 2.5"/>
    <n v="24"/>
    <x v="0"/>
    <s v="Reference"/>
    <x v="5"/>
    <s v="Spring"/>
    <n v="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m/>
    <m/>
    <m/>
    <m/>
  </r>
  <r>
    <d v="2003-06-03T00:00:00"/>
    <s v="Trap 3"/>
    <n v="24"/>
    <x v="1"/>
    <s v="Restricted"/>
    <x v="5"/>
    <s v="Spring"/>
    <n v="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7"/>
    <n v="0"/>
    <n v="0"/>
    <n v="0"/>
    <n v="0"/>
    <n v="0"/>
    <n v="7"/>
    <n v="1"/>
    <m/>
    <m/>
    <m/>
    <m/>
  </r>
  <r>
    <d v="2003-06-03T00:00:00"/>
    <s v="Boomerang"/>
    <n v="24"/>
    <x v="2"/>
    <s v="Pannes Cleared"/>
    <x v="5"/>
    <s v="Spring"/>
    <n v="111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"/>
    <n v="1"/>
    <n v="3.15"/>
    <m/>
    <m/>
    <m/>
  </r>
  <r>
    <d v="2003-06-03T00:00:00"/>
    <s v="Doughnut Hole"/>
    <n v="24"/>
    <x v="2"/>
    <s v="Pannes Cleared"/>
    <x v="5"/>
    <s v="Spring"/>
    <n v="92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"/>
    <n v="1"/>
    <n v="3.09"/>
    <m/>
    <m/>
    <m/>
  </r>
  <r>
    <d v="2010-06-05T00:00:00"/>
    <s v="Trap 2.5"/>
    <n v="16"/>
    <x v="0"/>
    <s v="Reference"/>
    <x v="5"/>
    <s v="Spring"/>
    <n v="0"/>
    <n v="0"/>
    <n v="0"/>
    <n v="0"/>
    <m/>
    <m/>
    <m/>
    <m/>
    <m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1"/>
    <m/>
    <m/>
    <m/>
    <m/>
  </r>
  <r>
    <d v="2010-06-05T00:00:00"/>
    <s v="Trap 3"/>
    <n v="16"/>
    <x v="1"/>
    <s v="Restricted"/>
    <x v="5"/>
    <s v="Spring"/>
    <n v="0"/>
    <n v="0"/>
    <n v="0"/>
    <n v="0"/>
    <m/>
    <m/>
    <m/>
    <m/>
    <m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2"/>
    <n v="1"/>
    <m/>
    <m/>
    <m/>
    <m/>
  </r>
  <r>
    <d v="2010-06-05T00:00:00"/>
    <s v="Boomerang"/>
    <n v="16"/>
    <x v="2"/>
    <s v="Pannes Cleared"/>
    <x v="5"/>
    <s v="Spring"/>
    <n v="90"/>
    <n v="0"/>
    <n v="1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"/>
    <n v="2"/>
    <n v="3"/>
    <m/>
    <m/>
    <m/>
  </r>
  <r>
    <d v="2010-06-05T00:00:00"/>
    <s v="Doughnut Hole"/>
    <n v="16"/>
    <x v="2"/>
    <s v="Pannes Cleared"/>
    <x v="5"/>
    <s v="Spring"/>
    <n v="43"/>
    <n v="0"/>
    <n v="0"/>
    <n v="0"/>
    <m/>
    <m/>
    <m/>
    <m/>
    <m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44"/>
    <n v="2"/>
    <n v="3"/>
    <m/>
    <m/>
    <m/>
  </r>
  <r>
    <d v="2003-06-06T00:00:00"/>
    <s v="Trap 2.5"/>
    <n v="24"/>
    <x v="0"/>
    <s v="Reference"/>
    <x v="5"/>
    <s v="Spring"/>
    <n v="0"/>
    <n v="0"/>
    <n v="0"/>
    <n v="0"/>
    <m/>
    <m/>
    <m/>
    <m/>
    <m/>
    <n v="0"/>
    <n v="0"/>
    <n v="0"/>
    <n v="0"/>
    <n v="0"/>
    <n v="0"/>
    <n v="0"/>
    <n v="2"/>
    <n v="0"/>
    <n v="0"/>
    <n v="0"/>
    <n v="0"/>
    <n v="0"/>
    <n v="14"/>
    <n v="0"/>
    <n v="0"/>
    <n v="0"/>
    <n v="0"/>
    <n v="0"/>
    <n v="16"/>
    <n v="2"/>
    <m/>
    <m/>
    <m/>
    <m/>
  </r>
  <r>
    <d v="2003-06-06T00:00:00"/>
    <s v="Trap 3"/>
    <n v="24"/>
    <x v="1"/>
    <s v="Restricted"/>
    <x v="5"/>
    <s v="Spring"/>
    <n v="0"/>
    <n v="0"/>
    <n v="0"/>
    <n v="0"/>
    <m/>
    <m/>
    <m/>
    <m/>
    <m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2"/>
    <n v="1"/>
    <m/>
    <m/>
    <m/>
    <m/>
  </r>
  <r>
    <d v="2003-06-06T00:00:00"/>
    <s v="Boomerang"/>
    <n v="24"/>
    <x v="2"/>
    <s v="Pannes Cleared"/>
    <x v="5"/>
    <s v="Spring"/>
    <n v="101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"/>
    <n v="1"/>
    <n v="2.7"/>
    <m/>
    <m/>
    <m/>
  </r>
  <r>
    <d v="2003-06-06T00:00:00"/>
    <s v="Doughnut Hole"/>
    <n v="24"/>
    <x v="2"/>
    <s v="Pannes Cleared"/>
    <x v="5"/>
    <s v="Spring"/>
    <n v="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"/>
    <n v="1"/>
    <n v="3.6"/>
    <m/>
    <m/>
    <m/>
  </r>
  <r>
    <d v="2003-09-29T00:00:00"/>
    <s v="Trap 2.5"/>
    <n v="14"/>
    <x v="0"/>
    <s v="Reference"/>
    <x v="5"/>
    <s v="Fall"/>
    <n v="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"/>
    <n v="2"/>
    <m/>
    <m/>
    <m/>
    <m/>
  </r>
  <r>
    <d v="2003-09-29T00:00:00"/>
    <s v="Trap 3"/>
    <n v="14"/>
    <x v="1"/>
    <s v="Restricted"/>
    <x v="5"/>
    <s v="Fall"/>
    <n v="13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35"/>
    <n v="2"/>
    <m/>
    <m/>
    <m/>
    <m/>
  </r>
  <r>
    <d v="2003-09-29T00:00:00"/>
    <s v="Boomerang"/>
    <n v="14"/>
    <x v="2"/>
    <s v="Pannes Cleared"/>
    <x v="5"/>
    <s v="Fall"/>
    <n v="2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9"/>
    <n v="1"/>
    <m/>
    <m/>
    <m/>
    <m/>
  </r>
  <r>
    <d v="2003-09-29T00:00:00"/>
    <s v="Doughnut Hole"/>
    <n v="14"/>
    <x v="2"/>
    <s v="Pannes Cleared"/>
    <x v="5"/>
    <s v="Fall"/>
    <n v="2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1"/>
    <n v="1"/>
    <m/>
    <m/>
    <m/>
    <m/>
  </r>
  <r>
    <d v="2003-09-30T00:00:00"/>
    <s v="Trap 2.5"/>
    <n v="23.5"/>
    <x v="0"/>
    <s v="Reference"/>
    <x v="5"/>
    <s v="Fall"/>
    <n v="86"/>
    <n v="0"/>
    <n v="0"/>
    <n v="0"/>
    <n v="0"/>
    <n v="0"/>
    <n v="0"/>
    <n v="0"/>
    <n v="0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90"/>
    <n v="3"/>
    <n v="2.0299999999999998"/>
    <n v="16.600000000000001"/>
    <m/>
    <m/>
  </r>
  <r>
    <d v="2003-09-30T00:00:00"/>
    <s v="Trap 3"/>
    <n v="23.5"/>
    <x v="1"/>
    <s v="Restricted"/>
    <x v="5"/>
    <s v="Fall"/>
    <n v="12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28"/>
    <n v="2"/>
    <n v="1.8"/>
    <m/>
    <m/>
    <m/>
  </r>
  <r>
    <d v="2003-09-30T00:00:00"/>
    <s v="Boomerang"/>
    <n v="23.5"/>
    <x v="2"/>
    <s v="Pannes Cleared"/>
    <x v="5"/>
    <s v="Fall"/>
    <n v="2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4"/>
    <n v="1"/>
    <n v="3.2"/>
    <m/>
    <m/>
    <m/>
  </r>
  <r>
    <d v="2003-09-30T00:00:00"/>
    <s v="Doughnut Hole"/>
    <n v="23.5"/>
    <x v="2"/>
    <s v="Pannes Cleared"/>
    <x v="5"/>
    <s v="Fall"/>
    <n v="2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1"/>
    <n v="1"/>
    <n v="3.43"/>
    <m/>
    <m/>
    <m/>
  </r>
  <r>
    <d v="2003-10-01T00:00:00"/>
    <s v="Trap 2.5"/>
    <n v="24.5"/>
    <x v="0"/>
    <s v="Reference"/>
    <x v="5"/>
    <s v="Fall"/>
    <n v="9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91"/>
    <n v="2"/>
    <n v="2.1"/>
    <m/>
    <n v="5"/>
    <m/>
  </r>
  <r>
    <d v="2003-10-01T00:00:00"/>
    <s v="Trap 3"/>
    <n v="24.5"/>
    <x v="1"/>
    <s v="Restricted"/>
    <x v="5"/>
    <s v="Fall"/>
    <n v="114"/>
    <n v="0"/>
    <n v="0"/>
    <n v="0"/>
    <n v="0"/>
    <n v="0"/>
    <n v="0"/>
    <n v="0"/>
    <n v="0"/>
    <n v="0"/>
    <n v="0"/>
    <n v="1"/>
    <n v="0"/>
    <n v="0"/>
    <n v="0"/>
    <n v="0"/>
    <n v="0"/>
    <m/>
    <n v="0"/>
    <n v="0"/>
    <n v="0"/>
    <n v="0"/>
    <n v="0"/>
    <n v="0"/>
    <n v="0"/>
    <n v="0"/>
    <n v="0"/>
    <n v="0"/>
    <n v="115"/>
    <n v="2"/>
    <n v="1.6"/>
    <n v="5"/>
    <m/>
    <m/>
  </r>
  <r>
    <d v="2003-10-01T00:00:00"/>
    <s v="Boomerang"/>
    <n v="24.5"/>
    <x v="2"/>
    <s v="Pannes Cleared"/>
    <x v="5"/>
    <s v="Fall"/>
    <n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"/>
    <n v="1"/>
    <n v="1.9"/>
    <m/>
    <m/>
    <m/>
  </r>
  <r>
    <d v="2003-10-02T00:00:00"/>
    <s v="Trap 2.5"/>
    <n v="23"/>
    <x v="0"/>
    <s v="Reference"/>
    <x v="5"/>
    <s v="Fall"/>
    <n v="109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"/>
    <n v="1"/>
    <n v="1.6"/>
    <m/>
    <m/>
    <m/>
  </r>
  <r>
    <d v="2003-10-02T00:00:00"/>
    <s v="Trap 3"/>
    <n v="23"/>
    <x v="1"/>
    <s v="Restricted"/>
    <x v="5"/>
    <s v="Fall"/>
    <n v="65"/>
    <n v="0"/>
    <n v="0"/>
    <n v="0"/>
    <n v="0"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"/>
    <n v="1"/>
    <n v="1.6"/>
    <m/>
    <m/>
    <m/>
  </r>
  <r>
    <d v="2003-10-02T00:00:00"/>
    <s v="Boomerang"/>
    <n v="23"/>
    <x v="2"/>
    <s v="Pannes Cleared"/>
    <x v="5"/>
    <s v="Fall"/>
    <n v="266"/>
    <n v="0"/>
    <n v="0"/>
    <n v="0"/>
    <n v="0"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"/>
    <n v="1"/>
    <n v="1.9"/>
    <m/>
    <m/>
    <m/>
  </r>
  <r>
    <d v="2003-10-02T00:00:00"/>
    <s v="Doughnut Hole"/>
    <n v="23"/>
    <x v="2"/>
    <s v="Pannes Cleared"/>
    <x v="5"/>
    <s v="Fall"/>
    <n v="243"/>
    <n v="0"/>
    <n v="0"/>
    <n v="0"/>
    <n v="0"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3"/>
    <n v="1"/>
    <n v="2.2999999999999998"/>
    <m/>
    <m/>
    <m/>
  </r>
  <r>
    <d v="2003-10-16T00:00:00"/>
    <s v="Trap 2.5"/>
    <n v="20.5"/>
    <x v="0"/>
    <s v="Reference"/>
    <x v="5"/>
    <s v="Fall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"/>
    <n v="1"/>
    <n v="1.3"/>
    <m/>
    <m/>
    <m/>
  </r>
  <r>
    <d v="2003-10-16T00:00:00"/>
    <s v="Trap 3"/>
    <n v="20.5"/>
    <x v="1"/>
    <s v="Restricted"/>
    <x v="5"/>
    <s v="Fall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"/>
    <n v="1.3"/>
    <m/>
    <m/>
    <m/>
  </r>
  <r>
    <d v="2003-10-16T00:00:00"/>
    <s v="Boomerang"/>
    <n v="20.5"/>
    <x v="2"/>
    <s v="Pannes Cleared"/>
    <x v="5"/>
    <s v="Fall"/>
    <n v="2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5"/>
    <n v="1"/>
    <n v="1.2"/>
    <m/>
    <m/>
    <m/>
  </r>
  <r>
    <d v="2003-10-16T00:00:00"/>
    <s v="Doughnut Hole"/>
    <n v="20.5"/>
    <x v="2"/>
    <s v="Pannes Cleared"/>
    <x v="5"/>
    <s v="Fall"/>
    <n v="1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8"/>
    <n v="1"/>
    <n v="1.4"/>
    <m/>
    <m/>
    <m/>
  </r>
  <r>
    <d v="2003-10-17T00:00:00"/>
    <s v="Trap 2.5"/>
    <n v="24"/>
    <x v="0"/>
    <s v="Reference"/>
    <x v="5"/>
    <s v="Fal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m/>
    <m/>
    <m/>
    <m/>
  </r>
  <r>
    <d v="2003-10-17T00:00:00"/>
    <s v="Trap 3"/>
    <n v="24"/>
    <x v="1"/>
    <s v="Restricted"/>
    <x v="5"/>
    <s v="Fall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1"/>
    <n v="3.1"/>
    <m/>
    <m/>
    <m/>
  </r>
  <r>
    <d v="2003-10-17T00:00:00"/>
    <s v="Boomerang"/>
    <n v="24"/>
    <x v="2"/>
    <s v="Pannes Cleared"/>
    <x v="5"/>
    <s v="Fall"/>
    <n v="1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2"/>
    <n v="1"/>
    <n v="1.3"/>
    <m/>
    <m/>
    <m/>
  </r>
  <r>
    <d v="2003-10-17T00:00:00"/>
    <s v="Doughnut Hole"/>
    <n v="24"/>
    <x v="2"/>
    <s v="Pannes Cleared"/>
    <x v="5"/>
    <s v="Fall"/>
    <n v="1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4"/>
    <n v="1"/>
    <n v="1.5"/>
    <m/>
    <m/>
    <m/>
  </r>
  <r>
    <d v="2003-10-30T00:00:00"/>
    <s v="Trap 2.5"/>
    <n v="15"/>
    <x v="0"/>
    <s v="Reference"/>
    <x v="5"/>
    <s v="Fall"/>
    <n v="1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2"/>
    <n v="1"/>
    <n v="2.5"/>
    <m/>
    <m/>
    <m/>
  </r>
  <r>
    <d v="2003-10-30T00:00:00"/>
    <s v="Trap 3"/>
    <n v="15"/>
    <x v="1"/>
    <s v="Restricted"/>
    <x v="5"/>
    <s v="Fall"/>
    <n v="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46"/>
    <n v="2"/>
    <n v="1.2"/>
    <m/>
    <m/>
    <m/>
  </r>
  <r>
    <d v="2003-10-30T00:00:00"/>
    <s v="Boomerang"/>
    <n v="15"/>
    <x v="2"/>
    <s v="Pannes Cleared"/>
    <x v="5"/>
    <s v="Fall"/>
    <n v="1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1"/>
    <n v="1"/>
    <n v="1.3"/>
    <m/>
    <m/>
    <m/>
  </r>
  <r>
    <d v="2003-10-30T00:00:00"/>
    <s v="Doughnut Hole"/>
    <n v="15"/>
    <x v="2"/>
    <s v="Pannes Cleared"/>
    <x v="5"/>
    <s v="Fall"/>
    <n v="1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2"/>
    <n v="1"/>
    <n v="1.8"/>
    <m/>
    <m/>
    <m/>
  </r>
  <r>
    <d v="2004-06-02T00:00:00"/>
    <s v="Trap 2"/>
    <n v="14.5"/>
    <x v="0"/>
    <s v="Reference"/>
    <x v="6"/>
    <s v="Spring"/>
    <n v="76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77"/>
    <n v="2"/>
    <n v="2.3026315789473686"/>
    <m/>
    <m/>
    <m/>
  </r>
  <r>
    <d v="2004-06-02T00:00:00"/>
    <s v="Trap 3"/>
    <n v="14.5"/>
    <x v="1"/>
    <s v="Restricted"/>
    <x v="6"/>
    <s v="Spring"/>
    <n v="44"/>
    <n v="0"/>
    <n v="2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48"/>
    <n v="3"/>
    <n v="2.2727272727272729"/>
    <m/>
    <m/>
    <m/>
  </r>
  <r>
    <d v="2004-06-02T00:00:00"/>
    <s v="Boomerang"/>
    <n v="14.5"/>
    <x v="2"/>
    <s v="Pannes Cleared"/>
    <x v="6"/>
    <s v="Spring"/>
    <n v="4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467"/>
    <n v="3"/>
    <n v="2.2317596566523603"/>
    <m/>
    <m/>
    <m/>
  </r>
  <r>
    <d v="2004-06-02T00:00:00"/>
    <s v="Doughnut Hole"/>
    <n v="14.5"/>
    <x v="2"/>
    <s v="Pannes Cleared"/>
    <x v="6"/>
    <s v="Spring"/>
    <n v="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n v="1"/>
    <n v="2.2000000000000002"/>
    <m/>
    <m/>
    <m/>
  </r>
  <r>
    <d v="2004-06-03T00:00:00"/>
    <s v="Trap 2"/>
    <n v="24"/>
    <x v="0"/>
    <s v="Reference"/>
    <x v="6"/>
    <s v="Spring"/>
    <n v="11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16"/>
    <n v="2"/>
    <n v="2.7391304347826089"/>
    <n v="25"/>
    <m/>
    <m/>
  </r>
  <r>
    <d v="2004-06-03T00:00:00"/>
    <s v="Trap 3"/>
    <n v="24"/>
    <x v="1"/>
    <s v="Restricted"/>
    <x v="6"/>
    <s v="Spring"/>
    <n v="206"/>
    <n v="0"/>
    <n v="0"/>
    <n v="0"/>
    <n v="0"/>
    <n v="0"/>
    <n v="0"/>
    <n v="0"/>
    <n v="0"/>
    <n v="0"/>
    <n v="0"/>
    <n v="1"/>
    <n v="0"/>
    <n v="3"/>
    <n v="0"/>
    <n v="0"/>
    <n v="0"/>
    <n v="0"/>
    <n v="0"/>
    <n v="1"/>
    <n v="2"/>
    <n v="0"/>
    <n v="0"/>
    <n v="0"/>
    <n v="0"/>
    <n v="0"/>
    <n v="0"/>
    <n v="0"/>
    <n v="213"/>
    <n v="5"/>
    <n v="1.7475728155339805"/>
    <n v="10"/>
    <m/>
    <m/>
  </r>
  <r>
    <d v="2004-06-03T00:00:00"/>
    <s v="Boomerang"/>
    <n v="24"/>
    <x v="2"/>
    <s v="Pannes Cleared"/>
    <x v="6"/>
    <s v="Spring"/>
    <n v="3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6"/>
    <n v="1"/>
    <n v="2.3039215686274508"/>
    <m/>
    <m/>
    <m/>
  </r>
  <r>
    <d v="2004-06-03T00:00:00"/>
    <s v="Doughnut Hole"/>
    <n v="24"/>
    <x v="2"/>
    <s v="Pannes Cleared"/>
    <x v="6"/>
    <s v="Spring"/>
    <n v="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1"/>
    <n v="1.1000000000000001"/>
    <m/>
    <m/>
    <m/>
  </r>
  <r>
    <d v="2004-06-04T00:00:00"/>
    <s v="Trap 2"/>
    <n v="24"/>
    <x v="0"/>
    <s v="Reference"/>
    <x v="6"/>
    <s v="Spring"/>
    <n v="164"/>
    <n v="0"/>
    <n v="0"/>
    <n v="1"/>
    <n v="0"/>
    <n v="0"/>
    <n v="0"/>
    <n v="0"/>
    <n v="0"/>
    <n v="0"/>
    <n v="0"/>
    <n v="0"/>
    <n v="0"/>
    <n v="2"/>
    <n v="0"/>
    <n v="0"/>
    <n v="0"/>
    <n v="0"/>
    <n v="0"/>
    <n v="0"/>
    <n v="4"/>
    <n v="0"/>
    <n v="0"/>
    <n v="0"/>
    <n v="0"/>
    <n v="0"/>
    <n v="0"/>
    <n v="0"/>
    <n v="171"/>
    <n v="4"/>
    <n v="2.4695121951219514"/>
    <m/>
    <m/>
    <m/>
  </r>
  <r>
    <d v="2004-06-04T00:00:00"/>
    <s v="Trap 3"/>
    <n v="24"/>
    <x v="1"/>
    <s v="Restricted"/>
    <x v="6"/>
    <s v="Spring"/>
    <n v="100"/>
    <n v="0"/>
    <n v="0"/>
    <n v="1"/>
    <n v="0"/>
    <n v="0"/>
    <n v="0"/>
    <n v="0"/>
    <n v="0"/>
    <n v="0"/>
    <n v="0"/>
    <n v="0"/>
    <n v="0"/>
    <n v="9"/>
    <n v="0"/>
    <n v="0"/>
    <n v="0"/>
    <n v="0"/>
    <n v="0"/>
    <n v="0"/>
    <n v="4"/>
    <n v="0"/>
    <n v="1"/>
    <n v="0"/>
    <n v="0"/>
    <n v="0"/>
    <n v="0"/>
    <n v="0"/>
    <n v="115"/>
    <n v="5"/>
    <n v="1.8"/>
    <m/>
    <m/>
    <m/>
  </r>
  <r>
    <d v="2004-06-04T00:00:00"/>
    <s v="Doughnut Hole"/>
    <n v="24"/>
    <x v="2"/>
    <s v="Pannes Cleared"/>
    <x v="6"/>
    <s v="Spring"/>
    <n v="25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254"/>
    <n v="2"/>
    <n v="1.6007905138339922"/>
    <m/>
    <m/>
    <m/>
  </r>
  <r>
    <d v="2004-06-10T00:00:00"/>
    <s v="Trap 2"/>
    <n v="16.5"/>
    <x v="0"/>
    <s v="Reference"/>
    <x v="6"/>
    <s v="Spring"/>
    <n v="1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"/>
    <n v="2"/>
    <n v="1.4935064935064934"/>
    <m/>
    <m/>
    <m/>
  </r>
  <r>
    <d v="2004-06-10T00:00:00"/>
    <s v="Trap 3"/>
    <n v="16.5"/>
    <x v="1"/>
    <s v="Restricted"/>
    <x v="6"/>
    <s v="Spring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m/>
    <m/>
    <m/>
    <m/>
  </r>
  <r>
    <d v="2004-06-10T00:00:00"/>
    <s v="Boomerang"/>
    <n v="3"/>
    <x v="2"/>
    <s v="Pannes Cleared"/>
    <x v="6"/>
    <s v="Spring"/>
    <n v="284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286"/>
    <n v="2"/>
    <n v="1.7253521126760563"/>
    <m/>
    <m/>
    <m/>
  </r>
  <r>
    <d v="2004-06-10T00:00:00"/>
    <s v="Doughnut Hole"/>
    <n v="3"/>
    <x v="2"/>
    <s v="Pannes Cleared"/>
    <x v="6"/>
    <s v="Spring"/>
    <n v="2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3"/>
    <n v="1"/>
    <n v="1.6117216117216118"/>
    <m/>
    <m/>
    <m/>
  </r>
  <r>
    <d v="2004-09-15T00:00:00"/>
    <s v="Trap 2"/>
    <n v="14"/>
    <x v="0"/>
    <s v="Reference"/>
    <x v="6"/>
    <s v="Fall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"/>
    <n v="1"/>
    <n v="2"/>
    <m/>
    <m/>
    <m/>
  </r>
  <r>
    <d v="2004-09-15T00:00:00"/>
    <s v="Trap 2.5"/>
    <n v="14"/>
    <x v="0"/>
    <s v="Reference"/>
    <x v="6"/>
    <s v="Fall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1"/>
    <n v="0.33"/>
    <m/>
    <m/>
    <m/>
  </r>
  <r>
    <d v="2004-09-15T00:00:00"/>
    <s v="Boomerang"/>
    <n v="13.5"/>
    <x v="2"/>
    <s v="Pannes Cleared"/>
    <x v="6"/>
    <s v="Fall"/>
    <n v="2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7"/>
    <n v="1"/>
    <n v="2"/>
    <m/>
    <m/>
    <m/>
  </r>
  <r>
    <d v="2004-09-15T00:00:00"/>
    <s v="Doughnut Hole"/>
    <n v="13.5"/>
    <x v="2"/>
    <s v="Pannes Cleared"/>
    <x v="6"/>
    <s v="Fall"/>
    <n v="5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5"/>
    <n v="1"/>
    <n v="3.5"/>
    <m/>
    <m/>
    <m/>
  </r>
  <r>
    <d v="2004-09-16T00:00:00"/>
    <s v="Trap 2"/>
    <n v="23.5"/>
    <x v="0"/>
    <s v="Reference"/>
    <x v="6"/>
    <s v="Fall"/>
    <n v="116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17"/>
    <n v="2"/>
    <n v="1.7"/>
    <m/>
    <n v="3"/>
    <m/>
  </r>
  <r>
    <d v="2004-09-16T00:00:00"/>
    <s v="Trap 2.5"/>
    <n v="23.5"/>
    <x v="0"/>
    <s v="Reference"/>
    <x v="6"/>
    <s v="Fall"/>
    <n v="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0"/>
    <n v="1"/>
    <n v="3"/>
    <m/>
    <m/>
    <m/>
  </r>
  <r>
    <d v="2004-09-16T00:00:00"/>
    <s v="Boomerang"/>
    <n v="19.5"/>
    <x v="2"/>
    <s v="Pannes Cleared"/>
    <x v="6"/>
    <s v="Fall"/>
    <n v="1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1"/>
    <n v="1"/>
    <n v="2"/>
    <m/>
    <m/>
    <m/>
  </r>
  <r>
    <d v="2004-09-20T00:00:00"/>
    <s v="Trap 2"/>
    <n v="3"/>
    <x v="0"/>
    <s v="Reference"/>
    <x v="6"/>
    <s v="Fall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"/>
    <n v="2.5"/>
    <m/>
    <m/>
    <m/>
  </r>
  <r>
    <d v="2004-09-20T00:00:00"/>
    <s v="Trap 2.5"/>
    <n v="2.7"/>
    <x v="0"/>
    <s v="Reference"/>
    <x v="6"/>
    <s v="Fal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d v="2004-09-20T00:00:00"/>
    <s v="Boomerang"/>
    <n v="2"/>
    <x v="2"/>
    <s v="Pannes Cleared"/>
    <x v="6"/>
    <s v="Fall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2.6"/>
    <m/>
    <m/>
    <m/>
  </r>
  <r>
    <d v="2004-09-21T00:00:00"/>
    <s v="Trap 2"/>
    <n v="24.5"/>
    <x v="0"/>
    <s v="Reference"/>
    <x v="6"/>
    <s v="Fall"/>
    <n v="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"/>
    <n v="1"/>
    <n v="2.8"/>
    <m/>
    <m/>
    <m/>
  </r>
  <r>
    <d v="2004-09-21T00:00:00"/>
    <s v="Trap 2.5"/>
    <n v="24.5"/>
    <x v="0"/>
    <s v="Reference"/>
    <x v="6"/>
    <s v="Fall"/>
    <n v="1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7"/>
    <n v="1"/>
    <n v="1.7"/>
    <m/>
    <m/>
    <m/>
  </r>
  <r>
    <d v="2004-09-21T00:00:00"/>
    <s v="Trap 3"/>
    <n v="24.5"/>
    <x v="1"/>
    <s v="Restricted"/>
    <x v="6"/>
    <s v="Fall"/>
    <n v="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"/>
    <n v="1"/>
    <n v="1.2"/>
    <m/>
    <m/>
    <m/>
  </r>
  <r>
    <d v="2004-09-21T00:00:00"/>
    <s v="Boomerang"/>
    <n v="18.5"/>
    <x v="2"/>
    <s v="Pannes Cleared"/>
    <x v="6"/>
    <s v="Fall"/>
    <n v="1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"/>
    <n v="1"/>
    <n v="1.9"/>
    <m/>
    <m/>
    <m/>
  </r>
  <r>
    <d v="2004-09-23T00:00:00"/>
    <s v="Trap 2"/>
    <n v="16"/>
    <x v="0"/>
    <s v="Reference"/>
    <x v="6"/>
    <s v="Fall"/>
    <n v="1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6"/>
    <n v="1"/>
    <n v="2.8"/>
    <m/>
    <m/>
    <m/>
  </r>
  <r>
    <d v="2004-09-23T00:00:00"/>
    <s v="Trap 2.5"/>
    <n v="14"/>
    <x v="0"/>
    <s v="Reference"/>
    <x v="6"/>
    <s v="Fall"/>
    <n v="1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7"/>
    <n v="1"/>
    <n v="2.7"/>
    <m/>
    <m/>
    <m/>
  </r>
  <r>
    <d v="2004-09-23T00:00:00"/>
    <s v="Trap 3"/>
    <n v="14"/>
    <x v="1"/>
    <s v="Restricted"/>
    <x v="6"/>
    <s v="Fall"/>
    <n v="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"/>
    <n v="1"/>
    <n v="1.1000000000000001"/>
    <m/>
    <m/>
    <m/>
  </r>
  <r>
    <d v="2004-09-23T00:00:00"/>
    <s v="Boomerang"/>
    <n v="14"/>
    <x v="2"/>
    <s v="Pannes Cleared"/>
    <x v="6"/>
    <s v="Fall"/>
    <n v="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"/>
    <n v="1"/>
    <n v="1.7"/>
    <m/>
    <m/>
    <m/>
  </r>
  <r>
    <d v="2004-09-24T00:00:00"/>
    <s v="Trap 2"/>
    <n v="17.5"/>
    <x v="0"/>
    <s v="Reference"/>
    <x v="6"/>
    <s v="Fall"/>
    <n v="15"/>
    <n v="0"/>
    <n v="0"/>
    <n v="0"/>
    <n v="0"/>
    <n v="0"/>
    <n v="0"/>
    <n v="0"/>
    <n v="0"/>
    <n v="0"/>
    <n v="0"/>
    <n v="0"/>
    <n v="0"/>
    <n v="0"/>
    <n v="0"/>
    <n v="0"/>
    <n v="0"/>
    <n v="27"/>
    <n v="0"/>
    <n v="0"/>
    <n v="0"/>
    <n v="0"/>
    <n v="0"/>
    <n v="0"/>
    <n v="0"/>
    <n v="1"/>
    <n v="0"/>
    <n v="0"/>
    <n v="43"/>
    <n v="3"/>
    <n v="3"/>
    <m/>
    <n v="4.5999999999999996"/>
    <m/>
  </r>
  <r>
    <d v="2004-09-24T00:00:00"/>
    <s v="Trap 2.5"/>
    <n v="17.5"/>
    <x v="0"/>
    <s v="Reference"/>
    <x v="6"/>
    <s v="Fall"/>
    <n v="34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n v="0"/>
    <n v="0"/>
    <n v="0"/>
    <n v="0"/>
    <n v="34"/>
    <n v="2"/>
    <n v="2.4"/>
    <m/>
    <m/>
    <m/>
  </r>
  <r>
    <d v="2004-09-24T00:00:00"/>
    <s v="Trap 3"/>
    <n v="17.5"/>
    <x v="1"/>
    <s v="Restricted"/>
    <x v="6"/>
    <s v="Fall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"/>
    <n v="1"/>
    <n v="2"/>
    <m/>
    <m/>
    <m/>
  </r>
  <r>
    <d v="2004-09-24T00:00:00"/>
    <s v="Boomerang"/>
    <n v="17.5"/>
    <x v="2"/>
    <s v="Pannes Cleared"/>
    <x v="6"/>
    <s v="Fall"/>
    <n v="2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9"/>
    <n v="1"/>
    <n v="2"/>
    <m/>
    <m/>
    <m/>
  </r>
  <r>
    <d v="2005-06-06T00:00:00"/>
    <s v="Boomerang"/>
    <n v="0.66"/>
    <x v="2"/>
    <s v="Pannes Cleared"/>
    <x v="7"/>
    <s v="Spring"/>
    <n v="104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"/>
    <n v="1"/>
    <n v="3.75"/>
    <m/>
    <m/>
    <m/>
  </r>
  <r>
    <d v="2005-06-06T00:00:00"/>
    <s v="Doughnut Hole"/>
    <n v="1.33"/>
    <x v="2"/>
    <s v="Pannes Cleared"/>
    <x v="7"/>
    <s v="Spring"/>
    <n v="0"/>
    <n v="0"/>
    <n v="1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m/>
    <m/>
    <m/>
  </r>
  <r>
    <d v="2005-06-07T00:00:00"/>
    <s v="Boomerang"/>
    <n v="19.5"/>
    <x v="2"/>
    <s v="Pannes Cleared"/>
    <x v="7"/>
    <s v="Spring"/>
    <n v="171"/>
    <n v="0"/>
    <n v="0"/>
    <n v="0"/>
    <m/>
    <m/>
    <m/>
    <m/>
    <m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173"/>
    <n v="3"/>
    <n v="3.0409356725146197"/>
    <n v="5"/>
    <m/>
    <m/>
  </r>
  <r>
    <d v="2005-06-07T00:00:00"/>
    <s v="Doughnut Hole"/>
    <n v="19.5"/>
    <x v="2"/>
    <s v="Pannes Cleared"/>
    <x v="7"/>
    <s v="Spring"/>
    <n v="18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0"/>
    <n v="1"/>
    <n v="3.8333333333333335"/>
    <m/>
    <m/>
    <m/>
  </r>
  <r>
    <d v="2008-06-08T00:00:00"/>
    <s v="Boomerang"/>
    <n v="2.16"/>
    <x v="2"/>
    <s v="Pannes Cleared"/>
    <x v="7"/>
    <s v="Spring"/>
    <n v="23"/>
    <n v="0"/>
    <n v="1"/>
    <n v="3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"/>
    <n v="3"/>
    <n v="1.8695652173913044"/>
    <m/>
    <m/>
    <s v="3 spined a pregnant female"/>
  </r>
  <r>
    <d v="2005-06-08T00:00:00"/>
    <s v="Doughnut Hole"/>
    <n v="2.25"/>
    <x v="2"/>
    <s v="Pannes Cleared"/>
    <x v="7"/>
    <s v="Spring"/>
    <n v="3"/>
    <n v="0"/>
    <n v="0"/>
    <n v="0"/>
    <m/>
    <m/>
    <m/>
    <m/>
    <m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4"/>
    <n v="2"/>
    <n v="1"/>
    <n v="0.5"/>
    <m/>
    <s v="eel: juvenile, clear"/>
  </r>
  <r>
    <d v="2005-06-09T00:00:00"/>
    <s v="Boomerang"/>
    <n v="1.66"/>
    <x v="2"/>
    <s v="Pannes Cleared"/>
    <x v="7"/>
    <s v="Spring"/>
    <n v="89"/>
    <n v="0"/>
    <n v="4"/>
    <n v="1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"/>
    <n v="3"/>
    <n v="3.1460674157303372"/>
    <m/>
    <m/>
    <m/>
  </r>
  <r>
    <d v="2005-06-09T00:00:00"/>
    <s v="Boomerang"/>
    <n v="2.25"/>
    <x v="2"/>
    <s v="Pannes Cleared"/>
    <x v="7"/>
    <s v="Spring"/>
    <n v="73"/>
    <n v="0"/>
    <n v="0"/>
    <n v="0"/>
    <m/>
    <m/>
    <m/>
    <m/>
    <m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75"/>
    <n v="2"/>
    <n v="2.7397260273972601"/>
    <m/>
    <m/>
    <s v="eels: juvenile, dark"/>
  </r>
  <r>
    <d v="2005-06-09T00:00:00"/>
    <s v="Doughnut Hole"/>
    <n v="2.25"/>
    <x v="2"/>
    <s v="Pannes Cleared"/>
    <x v="7"/>
    <s v="Spring"/>
    <n v="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d v="2005-06-09T00:00:00"/>
    <s v="Boomerang"/>
    <n v="1.5"/>
    <x v="2"/>
    <s v="Pannes Cleared"/>
    <x v="7"/>
    <s v="Spring"/>
    <n v="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d v="2005-06-09T00:00:00"/>
    <s v="Doughnut Hole"/>
    <n v="1.5"/>
    <x v="2"/>
    <s v="Pannes Cleared"/>
    <x v="7"/>
    <s v="Spring"/>
    <n v="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d v="2005-10-11T00:00:00"/>
    <s v="Trap 2.5"/>
    <n v="20"/>
    <x v="0"/>
    <s v="Reference"/>
    <x v="7"/>
    <s v="Fall"/>
    <n v="2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230"/>
    <n v="2"/>
    <n v="1.6"/>
    <m/>
    <m/>
    <m/>
  </r>
  <r>
    <d v="2005-10-11T00:00:00"/>
    <s v="Trap 3"/>
    <n v="20"/>
    <x v="1"/>
    <s v="Restricted"/>
    <x v="7"/>
    <s v="Fal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d v="2005-10-11T00:00:00"/>
    <s v="Boomerang"/>
    <n v="20"/>
    <x v="2"/>
    <s v="Pannes Cleared"/>
    <x v="7"/>
    <s v="Fall"/>
    <n v="3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"/>
    <n v="1"/>
    <n v="1.7"/>
    <m/>
    <m/>
    <m/>
  </r>
  <r>
    <d v="2005-10-11T00:00:00"/>
    <s v="Doughnut Hole"/>
    <n v="20"/>
    <x v="2"/>
    <s v="Pannes Cleared"/>
    <x v="7"/>
    <s v="Fall"/>
    <n v="4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8"/>
    <n v="1"/>
    <n v="1.5"/>
    <m/>
    <m/>
    <m/>
  </r>
  <r>
    <d v="2005-10-12T00:00:00"/>
    <s v="Trap 2.5"/>
    <n v="24"/>
    <x v="0"/>
    <s v="Reference"/>
    <x v="7"/>
    <s v="Fall"/>
    <n v="1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"/>
    <n v="1"/>
    <n v="1.6"/>
    <m/>
    <m/>
    <m/>
  </r>
  <r>
    <d v="2005-10-12T00:00:00"/>
    <s v="Trap 3"/>
    <n v="24"/>
    <x v="1"/>
    <s v="Restricted"/>
    <x v="7"/>
    <s v="Fal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d v="2005-10-12T00:00:00"/>
    <s v="Boomerang"/>
    <n v="24"/>
    <x v="2"/>
    <s v="Pannes Cleared"/>
    <x v="7"/>
    <s v="Fall"/>
    <n v="1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5"/>
    <n v="1"/>
    <n v="2.17"/>
    <m/>
    <m/>
    <m/>
  </r>
  <r>
    <d v="2005-10-12T00:00:00"/>
    <s v="Doughnut Hole"/>
    <n v="24"/>
    <x v="2"/>
    <s v="Pannes Cleared"/>
    <x v="7"/>
    <s v="Fall"/>
    <n v="4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8"/>
    <n v="1"/>
    <n v="0.9"/>
    <m/>
    <m/>
    <m/>
  </r>
  <r>
    <d v="2005-10-13T00:00:00"/>
    <s v="Trap 2.5"/>
    <n v="23.5"/>
    <x v="0"/>
    <s v="Reference"/>
    <x v="7"/>
    <s v="Fall"/>
    <n v="12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4"/>
    <n v="2"/>
    <n v="2.1"/>
    <m/>
    <m/>
    <m/>
  </r>
  <r>
    <d v="2005-10-13T00:00:00"/>
    <s v="Trap 3"/>
    <n v="23.5"/>
    <x v="1"/>
    <s v="Restricted"/>
    <x v="7"/>
    <s v="Fall"/>
    <n v="8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83"/>
    <n v="2"/>
    <n v="1.5"/>
    <m/>
    <m/>
    <m/>
  </r>
  <r>
    <d v="2005-10-13T00:00:00"/>
    <s v="Boomerang"/>
    <n v="23.5"/>
    <x v="2"/>
    <s v="Pannes Cleared"/>
    <x v="7"/>
    <s v="Fall"/>
    <n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"/>
    <n v="1"/>
    <n v="1.8"/>
    <m/>
    <m/>
    <m/>
  </r>
  <r>
    <d v="2005-10-13T00:00:00"/>
    <s v="Doughnut Hole"/>
    <n v="23.5"/>
    <x v="2"/>
    <s v="Pannes Cleared"/>
    <x v="7"/>
    <s v="Fall"/>
    <n v="2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0"/>
    <n v="1"/>
    <n v="1.7"/>
    <m/>
    <m/>
    <m/>
  </r>
  <r>
    <d v="2005-10-18T00:00:00"/>
    <s v="Trap 2.5"/>
    <n v="18"/>
    <x v="0"/>
    <s v="Reference"/>
    <x v="7"/>
    <s v="Fall"/>
    <n v="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"/>
    <n v="1"/>
    <n v="2"/>
    <m/>
    <m/>
    <m/>
  </r>
  <r>
    <d v="2005-10-18T00:00:00"/>
    <s v="Trap 3"/>
    <n v="18"/>
    <x v="1"/>
    <s v="Restricted"/>
    <x v="7"/>
    <s v="Fall"/>
    <n v="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"/>
    <n v="1"/>
    <n v="2.2999999999999998"/>
    <m/>
    <m/>
    <m/>
  </r>
  <r>
    <d v="2005-10-18T00:00:00"/>
    <s v="Boomerang"/>
    <n v="18"/>
    <x v="2"/>
    <s v="Pannes Cleared"/>
    <x v="7"/>
    <s v="Fall"/>
    <n v="1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6"/>
    <n v="1"/>
    <m/>
    <m/>
    <m/>
    <m/>
  </r>
  <r>
    <d v="2005-10-18T00:00:00"/>
    <s v="Doughnut Hole"/>
    <n v="18"/>
    <x v="2"/>
    <s v="Pannes Cleared"/>
    <x v="7"/>
    <s v="Fall"/>
    <n v="2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7"/>
    <n v="1"/>
    <n v="2.7"/>
    <m/>
    <m/>
    <m/>
  </r>
  <r>
    <d v="2005-10-19T00:00:00"/>
    <s v="Trap 2.5"/>
    <n v="24"/>
    <x v="0"/>
    <s v="Reference"/>
    <x v="7"/>
    <s v="Fall"/>
    <n v="1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"/>
    <n v="1"/>
    <n v="2.2000000000000002"/>
    <m/>
    <m/>
    <m/>
  </r>
  <r>
    <d v="2005-10-19T00:00:00"/>
    <s v="Trap 3"/>
    <n v="24"/>
    <x v="1"/>
    <s v="Restricted"/>
    <x v="7"/>
    <s v="Fall"/>
    <n v="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"/>
    <n v="1"/>
    <n v="1.9"/>
    <m/>
    <m/>
    <m/>
  </r>
  <r>
    <d v="2005-10-19T00:00:00"/>
    <s v="Boomerang"/>
    <n v="24"/>
    <x v="2"/>
    <s v="Pannes Cleared"/>
    <x v="7"/>
    <s v="Fall"/>
    <n v="2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1"/>
    <n v="2.5"/>
    <m/>
    <m/>
    <m/>
  </r>
  <r>
    <d v="2005-10-19T00:00:00"/>
    <s v="Doughnut Hole"/>
    <n v="24"/>
    <x v="2"/>
    <s v="Pannes Cleared"/>
    <x v="7"/>
    <s v="Fall"/>
    <n v="2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1"/>
    <n v="1"/>
    <n v="2.4"/>
    <m/>
    <m/>
    <m/>
  </r>
  <r>
    <d v="2006-08-31T00:00:00"/>
    <s v="Jelly Bean"/>
    <n v="2.5"/>
    <x v="3"/>
    <s v="Pannes Cleared"/>
    <x v="8"/>
    <s v="Summe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d v="2006-10-02T00:00:00"/>
    <s v="Trap 2.5"/>
    <n v="18"/>
    <x v="0"/>
    <s v="Reference"/>
    <x v="8"/>
    <s v="Fall"/>
    <n v="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"/>
    <n v="1"/>
    <n v="2.5694444444444446"/>
    <m/>
    <m/>
    <m/>
  </r>
  <r>
    <d v="2006-10-02T00:00:00"/>
    <s v="Divergent"/>
    <n v="18"/>
    <x v="2"/>
    <s v="Pannes Cleared"/>
    <x v="8"/>
    <s v="Fall"/>
    <n v="1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2"/>
    <n v="1"/>
    <n v="2.0639534883720931"/>
    <m/>
    <m/>
    <m/>
  </r>
  <r>
    <d v="2006-10-02T00:00:00"/>
    <s v="Boomerang"/>
    <n v="18"/>
    <x v="2"/>
    <s v="Pannes Cleared"/>
    <x v="8"/>
    <s v="Fall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m/>
    <m/>
    <m/>
  </r>
  <r>
    <d v="2006-10-02T00:00:00"/>
    <s v="Jelly Bean"/>
    <n v="18"/>
    <x v="3"/>
    <s v="Pannes Cleared"/>
    <x v="8"/>
    <s v="Fall"/>
    <n v="3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7"/>
    <n v="1"/>
    <n v="2.44299674267101"/>
    <m/>
    <m/>
    <m/>
  </r>
  <r>
    <d v="2006-10-10T00:00:00"/>
    <s v="Trap 2.5"/>
    <n v="23"/>
    <x v="0"/>
    <s v="Reference"/>
    <x v="8"/>
    <s v="Fall"/>
    <n v="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40"/>
    <n v="2"/>
    <n v="2.9166666666666665"/>
    <m/>
    <m/>
    <m/>
  </r>
  <r>
    <d v="2006-10-10T00:00:00"/>
    <s v="Divergent"/>
    <n v="23"/>
    <x v="2"/>
    <s v="Pannes Cleared"/>
    <x v="8"/>
    <s v="Fall"/>
    <n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"/>
    <n v="1"/>
    <n v="3.2954545454545454"/>
    <m/>
    <m/>
    <m/>
  </r>
  <r>
    <d v="2006-10-10T00:00:00"/>
    <s v="Boomerang"/>
    <n v="2"/>
    <x v="2"/>
    <s v="Pannes Cleared"/>
    <x v="8"/>
    <s v="Fall"/>
    <n v="3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6"/>
    <n v="1"/>
    <n v="1.9934640522875817"/>
    <m/>
    <m/>
    <m/>
  </r>
  <r>
    <d v="2006-10-10T00:00:00"/>
    <s v="Jelly Bean"/>
    <n v="23"/>
    <x v="3"/>
    <s v="Pannes Cleared"/>
    <x v="8"/>
    <s v="Fall"/>
    <n v="2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8"/>
    <n v="1"/>
    <n v="2.8597122302158273"/>
    <m/>
    <m/>
    <m/>
  </r>
  <r>
    <d v="2006-10-11T00:00:00"/>
    <s v="Trap 2.5"/>
    <n v="24"/>
    <x v="0"/>
    <s v="Reference"/>
    <x v="8"/>
    <s v="Fall"/>
    <n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74"/>
    <n v="2"/>
    <n v="1.9178082191780821"/>
    <m/>
    <m/>
    <m/>
  </r>
  <r>
    <d v="2006-10-11T00:00:00"/>
    <s v="Divergent"/>
    <n v="24"/>
    <x v="2"/>
    <s v="Pannes Cleared"/>
    <x v="8"/>
    <s v="Fall"/>
    <n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"/>
    <n v="1"/>
    <n v="3.8043478260869565"/>
    <m/>
    <m/>
    <m/>
  </r>
  <r>
    <d v="2006-10-11T00:00:00"/>
    <s v="Boomerang"/>
    <n v="22"/>
    <x v="2"/>
    <s v="Pannes Cleared"/>
    <x v="8"/>
    <s v="Fall"/>
    <n v="3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8"/>
    <n v="1"/>
    <n v="2.0731707317073171"/>
    <m/>
    <m/>
    <m/>
  </r>
  <r>
    <d v="2006-10-11T00:00:00"/>
    <s v="Jelly Bean"/>
    <n v="24"/>
    <x v="3"/>
    <s v="Pannes Cleared"/>
    <x v="8"/>
    <s v="Fall"/>
    <n v="3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9"/>
    <n v="1"/>
    <n v="2.5073746312684366"/>
    <m/>
    <m/>
    <m/>
  </r>
  <r>
    <d v="2006-10-13T00:00:00"/>
    <s v="Trap 2"/>
    <n v="22"/>
    <x v="0"/>
    <s v="Reference"/>
    <x v="8"/>
    <s v="Fall"/>
    <n v="404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406"/>
    <n v="2"/>
    <n v="2.9257425742574257"/>
    <m/>
    <m/>
    <m/>
  </r>
  <r>
    <d v="2006-10-13T00:00:00"/>
    <s v="Divergent"/>
    <n v="22"/>
    <x v="2"/>
    <s v="Pannes Cleared"/>
    <x v="8"/>
    <s v="Fall"/>
    <n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"/>
    <n v="1"/>
    <n v="2.9411764705882355"/>
    <m/>
    <m/>
    <m/>
  </r>
  <r>
    <d v="2006-10-13T00:00:00"/>
    <s v="Boomerang"/>
    <n v="22"/>
    <x v="2"/>
    <s v="Pannes Cleared"/>
    <x v="8"/>
    <s v="Fal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m/>
    <m/>
    <m/>
    <m/>
  </r>
  <r>
    <d v="2006-10-13T00:00:00"/>
    <s v="Jelly Bean"/>
    <n v="22"/>
    <x v="3"/>
    <s v="Pannes Cleared"/>
    <x v="8"/>
    <s v="Fall"/>
    <n v="2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9"/>
    <n v="1"/>
    <n v="2.8708133971291865"/>
    <m/>
    <m/>
    <m/>
  </r>
  <r>
    <d v="2007-10-02T00:00:00"/>
    <s v="Trap 1"/>
    <n v="24"/>
    <x v="0"/>
    <s v="Reference"/>
    <x v="9"/>
    <s v="Fall"/>
    <n v="97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98"/>
    <n v="2"/>
    <n v="2.5773195876288661"/>
    <m/>
    <m/>
    <m/>
  </r>
  <r>
    <d v="2007-10-02T00:00:00"/>
    <s v="Trap 3"/>
    <n v="24"/>
    <x v="1"/>
    <s v="Restricted"/>
    <x v="9"/>
    <s v="Fall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2.5"/>
    <m/>
    <m/>
    <m/>
  </r>
  <r>
    <d v="2007-10-02T00:00:00"/>
    <s v="Boomerang"/>
    <n v="24"/>
    <x v="2"/>
    <s v="Wrack Left "/>
    <x v="9"/>
    <s v="Fall"/>
    <n v="1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2"/>
    <n v="1"/>
    <n v="2.4553571428571428"/>
    <m/>
    <m/>
    <m/>
  </r>
  <r>
    <d v="2007-10-02T00:00:00"/>
    <s v="Doughnut Hole"/>
    <n v="24"/>
    <x v="2"/>
    <s v="Wrack Left "/>
    <x v="9"/>
    <s v="Fall"/>
    <n v="13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34"/>
    <n v="2"/>
    <n v="3.1578947368421053"/>
    <m/>
    <m/>
    <m/>
  </r>
  <r>
    <d v="2007-10-03T00:00:00"/>
    <s v="Trap 1"/>
    <n v="24"/>
    <x v="0"/>
    <s v="Reference"/>
    <x v="9"/>
    <s v="Fall"/>
    <n v="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"/>
    <n v="1"/>
    <n v="2.1354166666666665"/>
    <m/>
    <m/>
    <m/>
  </r>
  <r>
    <d v="2007-10-03T00:00:00"/>
    <s v="Trap 3"/>
    <n v="24"/>
    <x v="1"/>
    <s v="Restricted"/>
    <x v="9"/>
    <s v="Fal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d v="2007-10-03T00:00:00"/>
    <s v="Boomerang"/>
    <n v="24"/>
    <x v="2"/>
    <s v="Wrack Left "/>
    <x v="9"/>
    <s v="Fall"/>
    <n v="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"/>
    <n v="1"/>
    <n v="1.6477272727272727"/>
    <m/>
    <m/>
    <m/>
  </r>
  <r>
    <d v="2007-10-03T00:00:00"/>
    <s v="Doughnut Hole"/>
    <n v="24"/>
    <x v="2"/>
    <s v="Wrack Left "/>
    <x v="9"/>
    <s v="Fall"/>
    <n v="1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2"/>
    <n v="1"/>
    <n v="1.7441860465116279"/>
    <m/>
    <m/>
    <m/>
  </r>
  <r>
    <d v="2007-10-05T00:00:00"/>
    <s v="Trap 2"/>
    <n v="24"/>
    <x v="0"/>
    <s v="Reference"/>
    <x v="9"/>
    <s v="Fall"/>
    <n v="70"/>
    <n v="0"/>
    <n v="0"/>
    <n v="0"/>
    <n v="0"/>
    <n v="0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73"/>
    <n v="3"/>
    <n v="2.7142857142857144"/>
    <m/>
    <m/>
    <m/>
  </r>
  <r>
    <d v="2007-10-05T00:00:00"/>
    <s v="Trap 3"/>
    <n v="24"/>
    <x v="1"/>
    <s v="Restricted"/>
    <x v="9"/>
    <s v="Fal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d v="2007-10-05T00:00:00"/>
    <s v="Boomerang"/>
    <n v="24"/>
    <x v="2"/>
    <s v="Wrack Left "/>
    <x v="9"/>
    <s v="Fal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d v="2007-10-05T00:00:00"/>
    <s v="Doughnut Hole"/>
    <n v="24"/>
    <x v="2"/>
    <s v="Wrack Left "/>
    <x v="9"/>
    <s v="Fall"/>
    <n v="8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9"/>
    <n v="2"/>
    <n v="1.875"/>
    <m/>
    <m/>
    <m/>
  </r>
  <r>
    <d v="2008-10-06T00:00:00"/>
    <s v="Trap 2"/>
    <n v="21"/>
    <x v="0"/>
    <s v="Reference"/>
    <x v="10"/>
    <s v="Fall"/>
    <n v="1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"/>
    <n v="1"/>
    <n v="1.5517241379310345"/>
    <m/>
    <m/>
    <m/>
  </r>
  <r>
    <d v="2008-10-06T00:00:00"/>
    <s v="Trap 3"/>
    <n v="21"/>
    <x v="1"/>
    <s v="Restricted"/>
    <x v="10"/>
    <s v="Fall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d v="2008-10-06T00:00:00"/>
    <s v="Boomerang"/>
    <n v="21"/>
    <x v="2"/>
    <s v="Wrack Left "/>
    <x v="10"/>
    <s v="Fall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d v="2008-10-06T00:00:00"/>
    <s v="Divergent"/>
    <n v="21"/>
    <x v="2"/>
    <s v="Wrack Left "/>
    <x v="10"/>
    <s v="Fall"/>
    <n v="1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"/>
    <n v="1"/>
    <n v="1.6504854368932038"/>
    <m/>
    <m/>
    <m/>
  </r>
  <r>
    <d v="2008-10-07T00:00:00"/>
    <s v="Trap 2"/>
    <n v="24.5"/>
    <x v="0"/>
    <s v="Reference"/>
    <x v="10"/>
    <s v="Fall"/>
    <n v="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"/>
    <n v="1"/>
    <n v="1.2903225806451613"/>
    <m/>
    <m/>
    <m/>
  </r>
  <r>
    <d v="2008-10-07T00:00:00"/>
    <s v="Trap 3"/>
    <n v="24.5"/>
    <x v="1"/>
    <s v="Restricted"/>
    <x v="10"/>
    <s v="Fall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d v="2008-10-07T00:00:00"/>
    <s v="Boomerang"/>
    <n v="24.5"/>
    <x v="2"/>
    <s v="Wrack Left "/>
    <x v="10"/>
    <s v="Fall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d v="2008-10-07T00:00:00"/>
    <s v="Divergent"/>
    <n v="24.5"/>
    <x v="2"/>
    <s v="Wrack Left "/>
    <x v="10"/>
    <s v="Fall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"/>
    <n v="1"/>
    <n v="1.4285714285714286"/>
    <m/>
    <m/>
    <m/>
  </r>
  <r>
    <d v="2008-10-08T00:00:00"/>
    <s v="Trap 2"/>
    <n v="24"/>
    <x v="0"/>
    <s v="Reference"/>
    <x v="10"/>
    <s v="Fall"/>
    <n v="5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54"/>
    <n v="2"/>
    <n v="1.4150943396226414"/>
    <m/>
    <m/>
    <m/>
  </r>
  <r>
    <d v="2008-10-08T00:00:00"/>
    <s v="Trap 3"/>
    <n v="24"/>
    <x v="1"/>
    <s v="Restricted"/>
    <x v="10"/>
    <s v="Fal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m/>
    <m/>
    <m/>
    <m/>
  </r>
  <r>
    <d v="2008-10-08T00:00:00"/>
    <s v="Boomerang"/>
    <n v="24"/>
    <x v="2"/>
    <s v="Wrack Left "/>
    <x v="10"/>
    <s v="Fal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d v="2008-10-08T00:00:00"/>
    <s v="Divergent"/>
    <n v="24"/>
    <x v="2"/>
    <s v="Wrack Left "/>
    <x v="10"/>
    <s v="Fall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"/>
    <n v="1"/>
    <n v="1.0714285714285714"/>
    <m/>
    <m/>
    <m/>
  </r>
  <r>
    <d v="2008-10-08T00:00:00"/>
    <s v="Doughnut Hole"/>
    <n v="19.5"/>
    <x v="2"/>
    <s v="Wrack Left "/>
    <x v="10"/>
    <s v="Fall"/>
    <n v="0"/>
    <n v="0"/>
    <n v="0"/>
    <n v="1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m/>
    <m/>
    <m/>
    <m/>
  </r>
  <r>
    <d v="2008-10-09T00:00:00"/>
    <s v="Trap 2"/>
    <n v="24"/>
    <x v="0"/>
    <s v="Reference"/>
    <x v="10"/>
    <s v="Fall"/>
    <n v="42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"/>
    <n v="1"/>
    <n v="1.7857142857142858"/>
    <m/>
    <m/>
    <m/>
  </r>
  <r>
    <d v="2008-10-09T00:00:00"/>
    <s v="Boomerang"/>
    <n v="24"/>
    <x v="2"/>
    <s v="Wrack Left "/>
    <x v="10"/>
    <s v="Fall"/>
    <n v="0"/>
    <n v="0"/>
    <n v="0"/>
    <n v="2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"/>
    <m/>
    <m/>
    <m/>
    <m/>
  </r>
  <r>
    <d v="2008-10-09T00:00:00"/>
    <s v="Divergent"/>
    <n v="24"/>
    <x v="2"/>
    <s v="Wrack Left "/>
    <x v="10"/>
    <s v="Fall"/>
    <n v="15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"/>
    <n v="1"/>
    <n v="1.6666666666666667"/>
    <m/>
    <m/>
    <m/>
  </r>
  <r>
    <d v="2008-10-09T00:00:00"/>
    <s v="Doughnut Hole"/>
    <n v="24"/>
    <x v="2"/>
    <s v="Wrack Left "/>
    <x v="10"/>
    <s v="Fall"/>
    <n v="0"/>
    <n v="0"/>
    <n v="0"/>
    <n v="6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8"/>
    <n v="2"/>
    <m/>
    <m/>
    <m/>
    <m/>
  </r>
  <r>
    <d v="2008-11-13T00:00:00"/>
    <s v="Trap 2"/>
    <n v="22"/>
    <x v="0"/>
    <s v="Reference"/>
    <x v="10"/>
    <s v="Fall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2.5"/>
    <m/>
    <m/>
    <m/>
  </r>
  <r>
    <d v="2008-11-13T00:00:00"/>
    <s v="Boomerang"/>
    <n v="20.5"/>
    <x v="2"/>
    <s v="Wrack Left "/>
    <x v="10"/>
    <s v="Fall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2"/>
    <m/>
    <m/>
    <m/>
  </r>
  <r>
    <d v="2008-11-13T00:00:00"/>
    <s v="Doughnut Hole"/>
    <n v="1"/>
    <x v="2"/>
    <s v="Wrack Left "/>
    <x v="10"/>
    <s v="Fall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1"/>
    <n v="1.3333333333333333"/>
    <m/>
    <m/>
    <m/>
  </r>
  <r>
    <d v="2009-10-05T00:00:00"/>
    <s v="Trap 2"/>
    <n v="14.5"/>
    <x v="0"/>
    <s v="Reference"/>
    <x v="11"/>
    <s v="Fall"/>
    <n v="56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57"/>
    <n v="2"/>
    <n v="4.375"/>
    <m/>
    <n v="10"/>
    <m/>
  </r>
  <r>
    <d v="2009-10-05T00:00:00"/>
    <s v="Trap 3"/>
    <n v="14.5"/>
    <x v="1"/>
    <s v="Restricted"/>
    <x v="11"/>
    <s v="Fal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d v="2009-10-05T00:00:00"/>
    <s v="Boomerang"/>
    <n v="14.5"/>
    <x v="2"/>
    <s v="Wrack Left "/>
    <x v="11"/>
    <s v="Fall"/>
    <n v="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48"/>
    <n v="2"/>
    <n v="2.8085106382978724"/>
    <m/>
    <m/>
    <m/>
  </r>
  <r>
    <d v="2009-10-05T00:00:00"/>
    <s v="Doughnut Hole"/>
    <n v="14.5"/>
    <x v="2"/>
    <s v="Wrack Left "/>
    <x v="11"/>
    <s v="Fall"/>
    <n v="1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6"/>
    <n v="1"/>
    <n v="2.0306122448979593"/>
    <m/>
    <m/>
    <m/>
  </r>
  <r>
    <d v="2009-10-06T00:00:00"/>
    <s v="Trap 2"/>
    <n v="24"/>
    <x v="0"/>
    <s v="Reference"/>
    <x v="11"/>
    <s v="Fall"/>
    <n v="78"/>
    <n v="0"/>
    <n v="0"/>
    <n v="0"/>
    <m/>
    <m/>
    <m/>
    <m/>
    <m/>
    <n v="0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82"/>
    <n v="3"/>
    <n v="2.6282051282051282"/>
    <m/>
    <n v="11.666666666666666"/>
    <m/>
  </r>
  <r>
    <d v="2009-10-06T00:00:00"/>
    <s v="Trap 3"/>
    <n v="24"/>
    <x v="1"/>
    <s v="Restricted"/>
    <x v="11"/>
    <s v="Fall"/>
    <n v="6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"/>
    <n v="1"/>
    <n v="1.9166666666666667"/>
    <m/>
    <m/>
    <m/>
  </r>
  <r>
    <d v="2009-10-06T00:00:00"/>
    <s v="Boomerang"/>
    <n v="24"/>
    <x v="2"/>
    <s v="Wrack Left "/>
    <x v="11"/>
    <s v="Fall"/>
    <n v="68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"/>
    <n v="1"/>
    <n v="2.1323529411764706"/>
    <m/>
    <m/>
    <m/>
  </r>
  <r>
    <d v="2009-10-06T00:00:00"/>
    <s v="Doughnut Hole"/>
    <n v="24"/>
    <x v="2"/>
    <s v="Wrack Left "/>
    <x v="11"/>
    <s v="Fall"/>
    <n v="203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3"/>
    <n v="1"/>
    <n v="1.7241379310344827"/>
    <m/>
    <m/>
    <m/>
  </r>
  <r>
    <d v="2009-10-14T00:00:00"/>
    <s v="Trap 2"/>
    <n v="16"/>
    <x v="0"/>
    <s v="Reference"/>
    <x v="11"/>
    <s v="Fall"/>
    <n v="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"/>
    <n v="1"/>
    <n v="1.8656716417910448"/>
    <m/>
    <m/>
    <m/>
  </r>
  <r>
    <d v="2009-10-14T00:00:00"/>
    <s v="Trap 3"/>
    <n v="16"/>
    <x v="1"/>
    <s v="Restricted"/>
    <x v="11"/>
    <s v="Fal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d v="2009-10-14T00:00:00"/>
    <s v="Boomerang"/>
    <n v="16"/>
    <x v="2"/>
    <s v="Wrack Left "/>
    <x v="11"/>
    <s v="Fall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4"/>
    <n v="2"/>
    <n v="1.1666666666666667"/>
    <m/>
    <m/>
    <m/>
  </r>
  <r>
    <d v="2009-10-14T00:00:00"/>
    <s v="Doughnut Hole"/>
    <n v="16"/>
    <x v="2"/>
    <s v="Wrack Left "/>
    <x v="11"/>
    <s v="Fall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"/>
    <n v="1"/>
    <n v="2.1739130434782608"/>
    <m/>
    <m/>
    <m/>
  </r>
  <r>
    <d v="2009-10-15T00:00:00"/>
    <s v="Trap 2"/>
    <n v="24"/>
    <x v="0"/>
    <s v="Reference"/>
    <x v="11"/>
    <s v="Fall"/>
    <n v="24"/>
    <n v="0"/>
    <n v="0"/>
    <n v="0"/>
    <m/>
    <m/>
    <m/>
    <m/>
    <m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26"/>
    <n v="2"/>
    <n v="3.5416666666666665"/>
    <m/>
    <m/>
    <m/>
  </r>
  <r>
    <d v="2009-10-15T00:00:00"/>
    <s v="Trap 3"/>
    <n v="24"/>
    <x v="1"/>
    <s v="Restricted"/>
    <x v="11"/>
    <s v="Fall"/>
    <n v="2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"/>
    <n v="3"/>
    <m/>
    <m/>
    <m/>
  </r>
  <r>
    <d v="2009-10-15T00:00:00"/>
    <s v="Boomerang"/>
    <n v="24"/>
    <x v="2"/>
    <s v="Wrack Left "/>
    <x v="11"/>
    <s v="Fall"/>
    <n v="47"/>
    <n v="0"/>
    <n v="0"/>
    <n v="0"/>
    <m/>
    <m/>
    <m/>
    <m/>
    <m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48"/>
    <n v="2"/>
    <n v="1.7021276595744681"/>
    <n v="10"/>
    <m/>
    <m/>
  </r>
  <r>
    <d v="2009-10-15T00:00:00"/>
    <s v="Doughnut Hole"/>
    <n v="24"/>
    <x v="2"/>
    <s v="Wrack Left "/>
    <x v="11"/>
    <s v="Fall"/>
    <n v="121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"/>
    <n v="1"/>
    <n v="2.2727272727272729"/>
    <m/>
    <m/>
    <m/>
  </r>
  <r>
    <d v="2010-10-12T00:00:00"/>
    <s v="Trap 2"/>
    <n v="19.5"/>
    <x v="0"/>
    <s v="Restored 1"/>
    <x v="12"/>
    <s v="Fall"/>
    <n v="81"/>
    <n v="0"/>
    <n v="0"/>
    <n v="0"/>
    <n v="0"/>
    <n v="0"/>
    <n v="0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1"/>
    <n v="0"/>
    <n v="0"/>
    <n v="85"/>
    <n v="4"/>
    <n v="2.16"/>
    <m/>
    <n v="5"/>
    <m/>
  </r>
  <r>
    <d v="2010-10-12T00:00:00"/>
    <s v="Trap 3"/>
    <n v="19.5"/>
    <x v="1"/>
    <s v="Restored 1"/>
    <x v="12"/>
    <s v="Fall"/>
    <n v="2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6"/>
    <n v="1"/>
    <n v="1.8"/>
    <m/>
    <m/>
    <m/>
  </r>
  <r>
    <d v="2010-10-12T00:00:00"/>
    <s v="Boomerang"/>
    <n v="19.5"/>
    <x v="2"/>
    <s v="Wrack Left "/>
    <x v="12"/>
    <s v="Fall"/>
    <n v="89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91"/>
    <n v="2"/>
    <n v="1.8"/>
    <m/>
    <n v="2.5"/>
    <m/>
  </r>
  <r>
    <d v="2010-10-12T00:00:00"/>
    <s v="Divergent"/>
    <n v="19.5"/>
    <x v="2"/>
    <s v="Wrack Left "/>
    <x v="12"/>
    <s v="Fall"/>
    <n v="1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3"/>
    <n v="1"/>
    <n v="2"/>
    <m/>
    <m/>
    <m/>
  </r>
  <r>
    <d v="2010-10-13T00:00:00"/>
    <s v="Trap 2"/>
    <n v="24"/>
    <x v="0"/>
    <s v="Restored 1"/>
    <x v="12"/>
    <s v="Fall"/>
    <n v="106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108"/>
    <n v="3"/>
    <n v="2"/>
    <m/>
    <n v="1"/>
    <m/>
  </r>
  <r>
    <d v="2010-10-13T00:00:00"/>
    <s v="Trap 3"/>
    <n v="24"/>
    <x v="1"/>
    <s v="Restored 1"/>
    <x v="12"/>
    <s v="Fall"/>
    <n v="1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"/>
    <n v="1"/>
    <n v="2"/>
    <m/>
    <m/>
    <m/>
  </r>
  <r>
    <d v="2010-10-13T00:00:00"/>
    <s v="Boomerang"/>
    <n v="24"/>
    <x v="2"/>
    <s v="Wrack Left "/>
    <x v="12"/>
    <s v="Fall"/>
    <n v="1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7"/>
    <n v="1"/>
    <n v="1.8"/>
    <m/>
    <m/>
    <m/>
  </r>
  <r>
    <d v="2010-10-13T00:00:00"/>
    <s v="Doughnut Hole"/>
    <n v="24"/>
    <x v="2"/>
    <s v="Wrack Left "/>
    <x v="12"/>
    <s v="Fall"/>
    <n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"/>
    <n v="1"/>
    <n v="2.4"/>
    <m/>
    <m/>
    <m/>
  </r>
  <r>
    <d v="2010-10-14T00:00:00"/>
    <s v="Trap 2"/>
    <n v="24"/>
    <x v="0"/>
    <s v="Restored 1"/>
    <x v="12"/>
    <s v="Fall"/>
    <n v="87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89"/>
    <n v="2"/>
    <n v="1.72"/>
    <m/>
    <m/>
    <m/>
  </r>
  <r>
    <d v="2010-10-14T00:00:00"/>
    <s v="Boomerang"/>
    <n v="24"/>
    <x v="1"/>
    <s v="Restored 1"/>
    <x v="12"/>
    <s v="Fall"/>
    <n v="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"/>
    <n v="1"/>
    <n v="1.54"/>
    <m/>
    <m/>
    <m/>
  </r>
  <r>
    <d v="2010-10-14T00:00:00"/>
    <s v="Doughnut Hole"/>
    <n v="24"/>
    <x v="2"/>
    <s v="Wrack Left "/>
    <x v="12"/>
    <s v="Fall"/>
    <n v="87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89"/>
    <n v="2"/>
    <n v="1.7"/>
    <m/>
    <m/>
    <m/>
  </r>
  <r>
    <d v="2010-10-14T00:00:00"/>
    <s v="Trap 3"/>
    <n v="24"/>
    <x v="2"/>
    <s v="Wrack Left "/>
    <x v="12"/>
    <s v="Fall"/>
    <n v="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"/>
    <n v="1"/>
    <n v="2.14"/>
    <m/>
    <m/>
    <m/>
  </r>
  <r>
    <d v="2010-10-28T00:00:00"/>
    <s v="Trap 2"/>
    <n v="25"/>
    <x v="0"/>
    <s v="Restored 1"/>
    <x v="12"/>
    <s v="Fall"/>
    <n v="67"/>
    <n v="0"/>
    <n v="0"/>
    <m/>
    <m/>
    <m/>
    <m/>
    <m/>
    <m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68"/>
    <n v="2"/>
    <n v="1.79"/>
    <m/>
    <m/>
    <m/>
  </r>
  <r>
    <d v="2010-10-28T00:00:00"/>
    <s v="Trap 3"/>
    <n v="25"/>
    <x v="1"/>
    <s v="Restored 1"/>
    <x v="12"/>
    <s v="Fall"/>
    <n v="192"/>
    <n v="0"/>
    <n v="0"/>
    <n v="1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3"/>
    <n v="2"/>
    <m/>
    <m/>
    <m/>
    <s v="missing mummichog volume "/>
  </r>
  <r>
    <d v="2010-10-28T00:00:00"/>
    <s v="Boomerang"/>
    <n v="25"/>
    <x v="2"/>
    <s v="Wrack Left "/>
    <x v="12"/>
    <s v="Fall"/>
    <n v="1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8"/>
    <n v="2"/>
    <n v="1.76"/>
    <m/>
    <m/>
    <m/>
  </r>
  <r>
    <d v="2010-10-28T00:00:00"/>
    <s v="Doughnut Hole"/>
    <n v="25"/>
    <x v="2"/>
    <s v="Wrack Left "/>
    <x v="12"/>
    <s v="Fall"/>
    <n v="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"/>
    <n v="1"/>
    <n v="2.0299999999999998"/>
    <m/>
    <m/>
    <m/>
  </r>
  <r>
    <d v="2011-09-19T00:00:00"/>
    <s v="Trap 2"/>
    <n v="22"/>
    <x v="0"/>
    <s v="Restored 1"/>
    <x v="13"/>
    <s v="Fall"/>
    <n v="96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"/>
    <n v="1"/>
    <n v="2.3229166666666665"/>
    <m/>
    <m/>
    <m/>
  </r>
  <r>
    <d v="2011-09-19T00:00:00"/>
    <s v="Trap 3"/>
    <n v="22"/>
    <x v="1"/>
    <s v="Restored 1"/>
    <x v="13"/>
    <s v="Fall"/>
    <n v="21"/>
    <n v="0"/>
    <n v="0"/>
    <n v="1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23"/>
    <n v="3"/>
    <n v="1.1904761904761905"/>
    <m/>
    <m/>
    <m/>
  </r>
  <r>
    <d v="2011-09-19T00:00:00"/>
    <s v="Boomerang"/>
    <n v="22"/>
    <x v="2"/>
    <s v="Wrack Left "/>
    <x v="13"/>
    <s v="Fall"/>
    <n v="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d v="2011-09-19T00:00:00"/>
    <s v="Jelly Bean"/>
    <n v="22"/>
    <x v="3"/>
    <s v="Wrack Left "/>
    <x v="13"/>
    <s v="Fall"/>
    <n v="127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7"/>
    <n v="1"/>
    <n v="1.7322834645669292"/>
    <m/>
    <m/>
    <m/>
  </r>
  <r>
    <d v="2011-09-23T00:00:00"/>
    <s v="Doughnut Hole"/>
    <n v="16"/>
    <x v="2"/>
    <s v="Wrack Left "/>
    <x v="13"/>
    <s v="Fal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d v="2011-09-23T00:00:00"/>
    <s v="Trap 2"/>
    <n v="16"/>
    <x v="0"/>
    <s v="Wrack Left "/>
    <x v="13"/>
    <s v="Fal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d v="2011-09-23T00:00:00"/>
    <s v="Trap 3"/>
    <n v="16"/>
    <x v="1"/>
    <s v="Restored 1"/>
    <x v="13"/>
    <s v="Fall"/>
    <n v="18"/>
    <n v="0"/>
    <n v="0"/>
    <n v="0"/>
    <m/>
    <m/>
    <m/>
    <m/>
    <m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"/>
    <n v="2"/>
    <n v="1.9444444444444444"/>
    <m/>
    <m/>
    <m/>
  </r>
  <r>
    <d v="2011-09-23T00:00:00"/>
    <s v="Boomerang"/>
    <n v="16"/>
    <x v="2"/>
    <s v="Wrack Left "/>
    <x v="13"/>
    <s v="Fall"/>
    <n v="94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"/>
    <n v="1"/>
    <n v="3.0319148936170213"/>
    <m/>
    <m/>
    <m/>
  </r>
  <r>
    <d v="2011-10-03T00:00:00"/>
    <s v="Trap 2"/>
    <n v="22.5"/>
    <x v="0"/>
    <s v="Restored 1"/>
    <x v="13"/>
    <s v="Fall"/>
    <n v="68"/>
    <n v="0"/>
    <n v="0"/>
    <n v="1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"/>
    <n v="2"/>
    <n v="4.5588235294117645"/>
    <m/>
    <m/>
    <m/>
  </r>
  <r>
    <d v="2011-10-03T00:00:00"/>
    <s v="Trap 3"/>
    <n v="22.5"/>
    <x v="1"/>
    <s v="Restored 1"/>
    <x v="13"/>
    <s v="Fall"/>
    <n v="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d v="2011-10-03T00:00:00"/>
    <s v="Boomerang"/>
    <n v="22.5"/>
    <x v="2"/>
    <s v="Wrack Left "/>
    <x v="13"/>
    <s v="Fall"/>
    <n v="182"/>
    <n v="0"/>
    <n v="0"/>
    <n v="1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3"/>
    <n v="2"/>
    <n v="2.1428571428571428"/>
    <m/>
    <m/>
    <m/>
  </r>
  <r>
    <d v="2011-10-03T00:00:00"/>
    <s v="Doughnut Hole"/>
    <n v="22.5"/>
    <x v="2"/>
    <s v="Wrack Left "/>
    <x v="13"/>
    <s v="Fall"/>
    <n v="62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"/>
    <n v="1"/>
    <n v="2.338709677419355"/>
    <m/>
    <m/>
    <m/>
  </r>
  <r>
    <d v="2011-10-07T00:00:00"/>
    <s v="Trap 1"/>
    <n v="16"/>
    <x v="0"/>
    <s v="Restored 1"/>
    <x v="13"/>
    <s v="Fall"/>
    <n v="97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"/>
    <n v="1"/>
    <n v="1.7525773195876289"/>
    <m/>
    <m/>
    <m/>
  </r>
  <r>
    <d v="2011-10-07T00:00:00"/>
    <s v="Trap 3"/>
    <n v="16"/>
    <x v="1"/>
    <s v="Restored 1"/>
    <x v="13"/>
    <s v="Fall"/>
    <n v="24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"/>
    <n v="1"/>
    <n v="2.2916666666666665"/>
    <m/>
    <m/>
    <m/>
  </r>
  <r>
    <d v="2011-10-07T00:00:00"/>
    <s v="Boomerang"/>
    <n v="16"/>
    <x v="2"/>
    <s v="Wrack Left "/>
    <x v="13"/>
    <s v="Fall"/>
    <n v="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d v="2011-10-07T00:00:00"/>
    <s v="Jelly Bean"/>
    <n v="16"/>
    <x v="3"/>
    <s v="Wrack Left "/>
    <x v="13"/>
    <s v="Fall"/>
    <n v="121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"/>
    <n v="1"/>
    <n v="1.7768595041322315"/>
    <m/>
    <m/>
    <m/>
  </r>
  <r>
    <d v="2012-10-11T00:00:00"/>
    <s v="Trap 1"/>
    <n v="19"/>
    <x v="0"/>
    <s v="Restored 1"/>
    <x v="14"/>
    <s v="Fall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"/>
    <n v="4.5"/>
    <m/>
    <m/>
    <m/>
  </r>
  <r>
    <d v="2012-10-11T00:00:00"/>
    <s v="Doughnut Hole"/>
    <n v="19"/>
    <x v="2"/>
    <s v="Wrack Left "/>
    <x v="14"/>
    <s v="Fall"/>
    <n v="31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311"/>
    <n v="2"/>
    <n v="2.2580645161290325"/>
    <m/>
    <m/>
    <m/>
  </r>
  <r>
    <d v="2012-10-12T00:00:00"/>
    <s v="Trap 1"/>
    <n v="19"/>
    <x v="0"/>
    <s v="Restored 1"/>
    <x v="14"/>
    <s v="Fall"/>
    <n v="148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49"/>
    <n v="2"/>
    <n v="2.2297297297297298"/>
    <m/>
    <n v="2"/>
    <m/>
  </r>
  <r>
    <d v="2012-10-12T00:00:00"/>
    <s v="Trap 3 "/>
    <n v="19"/>
    <x v="1"/>
    <s v="Restored 1"/>
    <x v="14"/>
    <s v="Fall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"/>
    <n v="1"/>
    <n v="1.6666666666666667"/>
    <m/>
    <m/>
    <m/>
  </r>
  <r>
    <d v="2012-10-12T00:00:00"/>
    <s v="Doughnut Hole"/>
    <n v="19"/>
    <x v="2"/>
    <s v="Wrack Left "/>
    <x v="14"/>
    <s v="Fall"/>
    <n v="3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6"/>
    <n v="1"/>
    <n v="1.8617021276595744"/>
    <m/>
    <m/>
    <m/>
  </r>
  <r>
    <d v="2013-10-09T00:00:00"/>
    <s v="Trap 2"/>
    <n v="24"/>
    <x v="0"/>
    <s v="Restored 1"/>
    <x v="15"/>
    <s v="Fall"/>
    <n v="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"/>
    <n v="1"/>
    <n v="1.5"/>
    <m/>
    <m/>
    <m/>
  </r>
  <r>
    <d v="2013-10-09T00:00:00"/>
    <s v="Trap 3"/>
    <n v="24"/>
    <x v="1"/>
    <s v="Restored 1"/>
    <x v="15"/>
    <s v="Fall"/>
    <n v="1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134"/>
    <n v="3"/>
    <n v="2.2000000000000002"/>
    <m/>
    <m/>
    <m/>
  </r>
  <r>
    <d v="2013-10-09T00:00:00"/>
    <s v="Boomerang"/>
    <n v="24"/>
    <x v="2"/>
    <s v="Wrack Left "/>
    <x v="15"/>
    <s v="Fall"/>
    <n v="2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7"/>
    <n v="1"/>
    <n v="1.3"/>
    <m/>
    <m/>
    <m/>
  </r>
  <r>
    <d v="2013-10-09T00:00:00"/>
    <s v="Divergent"/>
    <n v="25.1"/>
    <x v="2"/>
    <s v="Wrack Left "/>
    <x v="15"/>
    <s v="Fall"/>
    <n v="127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28"/>
    <n v="2"/>
    <n v="2"/>
    <m/>
    <m/>
    <s v="missing green crab volume "/>
  </r>
  <r>
    <d v="2013-10-10T00:00:00"/>
    <s v="Trap 2"/>
    <n v="24"/>
    <x v="0"/>
    <s v="Restored 1"/>
    <x v="15"/>
    <s v="Fall"/>
    <n v="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"/>
    <n v="1"/>
    <n v="1.7"/>
    <m/>
    <m/>
    <m/>
  </r>
  <r>
    <d v="2013-10-10T00:00:00"/>
    <s v="Trap 3"/>
    <n v="24"/>
    <x v="1"/>
    <s v="Restored 1"/>
    <x v="15"/>
    <s v="Fall"/>
    <n v="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"/>
    <n v="1"/>
    <n v="2.1"/>
    <m/>
    <m/>
    <m/>
  </r>
  <r>
    <d v="2013-10-10T00:00:00"/>
    <s v="Boomerang"/>
    <n v="24"/>
    <x v="2"/>
    <s v="Wrack Left "/>
    <x v="15"/>
    <s v="Fall"/>
    <n v="2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9"/>
    <n v="1"/>
    <n v="1.9"/>
    <m/>
    <m/>
    <m/>
  </r>
  <r>
    <d v="2013-10-10T00:00:00"/>
    <s v="Doughnut Hole"/>
    <n v="25.25"/>
    <x v="2"/>
    <s v="Wrack Left "/>
    <x v="15"/>
    <s v="Fall"/>
    <n v="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"/>
    <n v="1"/>
    <n v="1.7"/>
    <m/>
    <m/>
    <m/>
  </r>
  <r>
    <d v="2013-10-24T00:00:00"/>
    <s v="Trap 2"/>
    <n v="25"/>
    <x v="0"/>
    <s v="Restored 1"/>
    <x v="15"/>
    <s v="Fall"/>
    <n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"/>
    <n v="1"/>
    <n v="1.36"/>
    <m/>
    <m/>
    <m/>
  </r>
  <r>
    <d v="2013-10-24T00:00:00"/>
    <s v="Trap 3"/>
    <n v="25"/>
    <x v="1"/>
    <s v="Restored 1"/>
    <x v="15"/>
    <s v="Fall"/>
    <n v="1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5"/>
    <n v="1"/>
    <n v="1.3"/>
    <m/>
    <m/>
    <m/>
  </r>
  <r>
    <d v="2013-10-24T00:00:00"/>
    <s v="Doughnut Hole"/>
    <n v="25"/>
    <x v="2"/>
    <s v="Wrack Left "/>
    <x v="15"/>
    <s v="Fall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"/>
    <n v="1"/>
    <n v="1.3"/>
    <m/>
    <m/>
    <m/>
  </r>
  <r>
    <d v="2014-10-14T00:00:00"/>
    <s v="Trap 2"/>
    <n v="23.5"/>
    <x v="0"/>
    <s v="Restored 1"/>
    <x v="16"/>
    <s v="Fall"/>
    <n v="29"/>
    <n v="0"/>
    <n v="0"/>
    <n v="0"/>
    <m/>
    <m/>
    <m/>
    <m/>
    <m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38"/>
    <n v="2"/>
    <n v="1.896551724137931"/>
    <m/>
    <m/>
    <m/>
  </r>
  <r>
    <d v="2014-10-14T00:00:00"/>
    <s v="Trap 3"/>
    <n v="23.5"/>
    <x v="1"/>
    <s v="Restored 1"/>
    <x v="16"/>
    <s v="Fall"/>
    <n v="45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"/>
    <n v="1"/>
    <n v="1.7777777777777777"/>
    <m/>
    <m/>
    <m/>
  </r>
  <r>
    <d v="2014-10-14T00:00:00"/>
    <s v="Boomerang"/>
    <n v="23.5"/>
    <x v="2"/>
    <s v="Wrack Left "/>
    <x v="16"/>
    <s v="Fall"/>
    <n v="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</r>
  <r>
    <d v="2014-10-14T00:00:00"/>
    <s v="Jelly Bean"/>
    <n v="23.5"/>
    <x v="3"/>
    <s v="Wrack Left "/>
    <x v="16"/>
    <s v="Fall"/>
    <n v="50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"/>
    <n v="1"/>
    <n v="1.5"/>
    <m/>
    <m/>
    <m/>
  </r>
  <r>
    <d v="2014-10-15T00:00:00"/>
    <s v="Trap 2"/>
    <n v="24"/>
    <x v="0"/>
    <s v="Restored 1"/>
    <x v="16"/>
    <s v="Fall"/>
    <n v="9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1"/>
    <n v="6.1111111111111107"/>
    <m/>
    <m/>
    <m/>
  </r>
  <r>
    <d v="2014-10-15T00:00:00"/>
    <s v="Trap 3"/>
    <n v="24"/>
    <x v="1"/>
    <s v="Restored 1"/>
    <x v="16"/>
    <s v="Fall"/>
    <n v="8"/>
    <n v="0"/>
    <n v="0"/>
    <n v="0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1"/>
    <n v="1.5"/>
    <m/>
    <m/>
    <m/>
  </r>
  <r>
    <d v="2014-10-15T00:00:00"/>
    <s v="Doughnut Hole"/>
    <n v="24"/>
    <x v="3"/>
    <s v="Wrack Left "/>
    <x v="16"/>
    <s v="Fall"/>
    <n v="0"/>
    <n v="0"/>
    <n v="0"/>
    <n v="3"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1"/>
    <n v="1"/>
    <m/>
    <m/>
    <m/>
  </r>
  <r>
    <d v="2014-10-16T00:00:00"/>
    <s v="Trap 2"/>
    <n v="24.25"/>
    <x v="0"/>
    <s v="Restored 1"/>
    <x v="16"/>
    <s v="Fall"/>
    <n v="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"/>
    <n v="1"/>
    <n v="1.9318181818181819"/>
    <m/>
    <m/>
    <m/>
  </r>
  <r>
    <d v="2014-10-16T00:00:00"/>
    <s v="Trap 3"/>
    <n v="24.25"/>
    <x v="1"/>
    <s v="Restored 1"/>
    <x v="16"/>
    <s v="Fall"/>
    <n v="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"/>
    <n v="1"/>
    <n v="1.7857142857142858"/>
    <m/>
    <m/>
    <m/>
  </r>
  <r>
    <d v="2014-10-16T00:00:00"/>
    <s v="Jelly Bean"/>
    <n v="24.25"/>
    <x v="3"/>
    <s v="Wrack Left "/>
    <x v="16"/>
    <s v="Fall"/>
    <n v="1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7"/>
    <n v="1"/>
    <n v="1.6844919786096257"/>
    <m/>
    <m/>
    <m/>
  </r>
  <r>
    <d v="2014-10-17T00:00:00"/>
    <s v="Trap 2"/>
    <n v="23.25"/>
    <x v="0"/>
    <s v="Restored 1"/>
    <x v="16"/>
    <s v="Fall"/>
    <n v="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"/>
    <n v="1"/>
    <m/>
    <m/>
    <m/>
    <m/>
  </r>
  <r>
    <d v="2014-10-17T00:00:00"/>
    <s v="Trap 3"/>
    <n v="23.25"/>
    <x v="1"/>
    <s v="Restored 1"/>
    <x v="16"/>
    <s v="Fall"/>
    <n v="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"/>
    <n v="1"/>
    <n v="1.5833333333333333"/>
    <m/>
    <m/>
    <m/>
  </r>
  <r>
    <d v="2014-10-17T00:00:00"/>
    <s v="Jelly Bean"/>
    <n v="23.25"/>
    <x v="3"/>
    <s v="Wrack Left "/>
    <x v="16"/>
    <s v="Fall"/>
    <n v="4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3"/>
    <n v="1"/>
    <n v="1.9646799116997793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3" cacheId="24" dataOnRows="1" applyNumberFormats="0" applyBorderFormats="0" applyFontFormats="0" applyPatternFormats="0" applyAlignmentFormats="0" applyWidthHeightFormats="1" dataCaption="Data" updatedVersion="3" showItems="0" showMultipleLabel="0" showDrill="0" showMemberPropertyTips="0" useAutoFormatting="1" itemPrintTitles="1" indent="0" showHeaders="0" compact="0" compactData="0" gridDropZones="1">
  <location ref="O54:T77" firstHeaderRow="1" firstDataRow="2" firstDataCol="1"/>
  <pivotFields count="40"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dataField="1" compact="0" outline="0" subtotalTop="0" showAll="0" includeNewItemsInFilter="1">
      <items count="5">
        <item x="3"/>
        <item x="0"/>
        <item x="1"/>
        <item x="2"/>
        <item t="default"/>
      </items>
    </pivotField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 defaultSubtotal="0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 defaultSubtotal="0">
      <items count="2">
        <item x="1"/>
        <item x="0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-2"/>
  </rowFields>
  <rowItems count="2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22">
    <dataField name="Count of Mummichog" fld="7" subtotal="count" baseField="0" baseItem="0"/>
    <dataField name="Count of  4spined stickleback" fld="8" subtotal="count" baseField="0" baseItem="0"/>
    <dataField name="Count of 3 spined stickleback" fld="9" subtotal="count" baseField="0" baseItem="0"/>
    <dataField name="Count of 9 spined stickleback" fld="10" subtotal="count" baseField="0" baseItem="0"/>
    <dataField name="Count of Silverside" fld="17" subtotal="count" baseField="0" baseItem="0"/>
    <dataField name="Count of Eel" fld="18" subtotal="count" baseField="0" baseItem="0"/>
    <dataField name="Count of grass shrimp" fld="19" subtotal="count" baseField="0" baseItem="0"/>
    <dataField name="Count of ? Shrimp" fld="20" subtotal="count" baseField="0" baseItem="0"/>
    <dataField name="Count of sand shrimp" fld="21" subtotal="count" baseField="0" baseItem="0"/>
    <dataField name="Count of mud snail" fld="22" subtotal="count" baseField="0" baseItem="0"/>
    <dataField name="Count of Green Crab" fld="24" subtotal="count" baseField="0" baseItem="0"/>
    <dataField name="Count of smelt" fld="25" subtotal="count" baseField="0" baseItem="0"/>
    <dataField name="Count of brown shrimp leech" fld="26" subtotal="count" baseField="0" baseItem="0"/>
    <dataField name="Count of green shrimp leech" fld="27" subtotal="count" baseField="0" baseItem="0"/>
    <dataField name="Count of red worm" fld="28" subtotal="count" baseField="0" baseItem="0"/>
    <dataField name="Count of amphipod" fld="29" subtotal="count" baseField="0" baseItem="0"/>
    <dataField name="Count of water skimmer" fld="30" subtotal="count" baseField="0" baseItem="0"/>
    <dataField name="Count of water beetle" fld="31" subtotal="count" baseField="0" baseItem="0"/>
    <dataField name="Count of green frog" fld="32" subtotal="count" baseField="0" baseItem="0"/>
    <dataField name="Count of isopod" fld="33" subtotal="count" baseField="0" baseItem="0"/>
    <dataField name="Count of Area" fld="3" subtotal="count" baseField="0" baseItem="0"/>
    <dataField name="Count of mouse/rodent" fld="34" subtotal="count" baseField="0" baseItem="0"/>
  </dataFields>
  <formats count="1">
    <format dxfId="5">
      <pivotArea outline="0" fieldPosition="0">
        <references count="2">
          <reference field="4294967294" count="1" selected="0">
            <x v="20"/>
          </reference>
          <reference field="3" count="1" selected="0">
            <x v="0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PivotTable3" cacheId="20" dataOnRows="1" applyNumberFormats="0" applyBorderFormats="0" applyFontFormats="0" applyPatternFormats="0" applyAlignmentFormats="0" applyWidthHeightFormats="1" dataCaption="Data" updatedVersion="3" showItems="0" showMultipleLabel="0" showMemberPropertyTips="0" useAutoFormatting="1" itemPrintTitles="1" indent="0" compact="0" compactData="0" gridDropZones="1">
  <location ref="A169:F191" firstHeaderRow="1" firstDataRow="2" firstDataCol="1"/>
  <pivotFields count="40"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dataField="1" compact="0" outline="0" subtotalTop="0" showAll="0" includeNewItemsInFilter="1">
      <items count="5">
        <item x="3"/>
        <item x="0"/>
        <item x="1"/>
        <item x="2"/>
        <item t="default"/>
      </items>
    </pivotField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 defaultSubtotal="0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-2"/>
  </rowFields>
  <rowItems count="2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21">
    <dataField name="Count of Mummichog" fld="7" subtotal="count" baseField="0" baseItem="0"/>
    <dataField name="Count of  4spined stickleback" fld="8" subtotal="count" baseField="0" baseItem="0"/>
    <dataField name="Count of 3 spined stickleback" fld="9" subtotal="count" baseField="0" baseItem="0"/>
    <dataField name="Count of 9 spined stickleback" fld="10" subtotal="count" baseField="0" baseItem="0"/>
    <dataField name="Count of Silverside" fld="17" subtotal="count" baseField="0" baseItem="0"/>
    <dataField name="Count of Eel" fld="18" subtotal="count" baseField="0" baseItem="0"/>
    <dataField name="Count of grass shrimp" fld="19" subtotal="count" baseField="0" baseItem="0"/>
    <dataField name="Count of ? Shrimp" fld="20" subtotal="count" baseField="0" baseItem="0"/>
    <dataField name="Count of sand shrimp" fld="21" subtotal="count" baseField="0" baseItem="0"/>
    <dataField name="Count of mud snail" fld="22" subtotal="count" baseField="0" baseItem="0"/>
    <dataField name="Count of Green Crab" fld="24" subtotal="count" baseField="0" baseItem="0"/>
    <dataField name="Count of smelt" fld="25" subtotal="count" baseField="0" baseItem="0"/>
    <dataField name="Count of brown shrimp leech" fld="26" subtotal="count" baseField="0" baseItem="0"/>
    <dataField name="Count of green shrimp leech" fld="27" subtotal="count" baseField="0" baseItem="0"/>
    <dataField name="Count of red worm" fld="28" subtotal="count" baseField="0" baseItem="0"/>
    <dataField name="Count of amphipod" fld="29" subtotal="count" baseField="0" baseItem="0"/>
    <dataField name="Count of water skimmer" fld="30" subtotal="count" baseField="0" baseItem="0"/>
    <dataField name="Count of water beetle" fld="31" subtotal="count" baseField="0" baseItem="0"/>
    <dataField name="Count of green frog" fld="32" subtotal="count" baseField="0" baseItem="0"/>
    <dataField name="Count of isopod" fld="33" subtotal="count" baseField="0" baseItem="0"/>
    <dataField name="Count of Area" fld="3" subtotal="count" baseField="0" baseItem="0"/>
  </dataFields>
  <formats count="1">
    <format dxfId="9">
      <pivotArea outline="0" fieldPosition="0">
        <references count="2">
          <reference field="4294967294" count="1" selected="0">
            <x v="20"/>
          </reference>
          <reference field="3" count="1" selected="0">
            <x v="0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PivotTable6" cacheId="20" dataOnRows="1" applyNumberFormats="0" applyBorderFormats="0" applyFontFormats="0" applyPatternFormats="0" applyAlignmentFormats="0" applyWidthHeightFormats="1" dataCaption="Data" updatedVersion="3" showItems="0" showMultipleLabel="0" showMemberPropertyTips="0" useAutoFormatting="1" itemPrintTitles="1" indent="0" compact="0" compactData="0" gridDropZones="1">
  <location ref="A110:E132" firstHeaderRow="1" firstDataRow="2" firstDataCol="1"/>
  <pivotFields count="40"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axis="axisCol" compact="0" outline="0" subtotalTop="0" showAll="0" includeNewItemsInFilter="1">
      <items count="4">
        <item x="1"/>
        <item x="0"/>
        <item x="2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 defaultSubtotal="0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-2"/>
  </rowFields>
  <rowItems count="2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</rowItems>
  <colFields count="1">
    <field x="6"/>
  </colFields>
  <colItems count="4">
    <i>
      <x/>
    </i>
    <i>
      <x v="1"/>
    </i>
    <i>
      <x v="2"/>
    </i>
    <i t="grand">
      <x/>
    </i>
  </colItems>
  <dataFields count="21">
    <dataField name="Count of Mummichog" fld="7" subtotal="count" baseField="0" baseItem="0"/>
    <dataField name="Count of  4spined stickleback" fld="8" subtotal="count" baseField="0" baseItem="0"/>
    <dataField name="Count of 3 spined stickleback" fld="9" subtotal="count" baseField="0" baseItem="0"/>
    <dataField name="Count of 9 spined stickleback" fld="10" subtotal="count" baseField="0" baseItem="0"/>
    <dataField name="Count of Silverside" fld="17" subtotal="count" baseField="0" baseItem="0"/>
    <dataField name="Count of Eel" fld="18" subtotal="count" baseField="0" baseItem="0"/>
    <dataField name="Count of grass shrimp" fld="19" subtotal="count" baseField="0" baseItem="0"/>
    <dataField name="Count of ? Shrimp" fld="20" subtotal="count" baseField="0" baseItem="0"/>
    <dataField name="Count of sand shrimp" fld="21" subtotal="count" baseField="0" baseItem="0"/>
    <dataField name="Count of mud snail" fld="22" subtotal="count" baseField="0" baseItem="0"/>
    <dataField name="Count of Green Crab" fld="24" subtotal="count" baseField="0" baseItem="0"/>
    <dataField name="Count of smelt" fld="25" subtotal="count" baseField="0" baseItem="0"/>
    <dataField name="Count of brown shrimp leech" fld="26" subtotal="count" baseField="0" baseItem="0"/>
    <dataField name="Count of green shrimp leech" fld="27" subtotal="count" baseField="0" baseItem="0"/>
    <dataField name="Count of red worm" fld="28" subtotal="count" baseField="0" baseItem="0"/>
    <dataField name="Count of amphipod" fld="29" subtotal="count" baseField="0" baseItem="0"/>
    <dataField name="Count of water skimmer" fld="30" subtotal="count" baseField="0" baseItem="0"/>
    <dataField name="Count of water beetle" fld="31" subtotal="count" baseField="0" baseItem="0"/>
    <dataField name="Count of green frog" fld="32" subtotal="count" baseField="0" baseItem="0"/>
    <dataField name="Count of isopod" fld="33" subtotal="count" baseField="0" baseItem="0"/>
    <dataField name="Count of Area" fld="3" subtotal="count" baseField="0" baseItem="0"/>
  </dataFields>
  <pivotTableStyleInfo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PivotTable9" cacheId="23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198:S204" firstHeaderRow="1" firstDataRow="2" firstDataCol="1"/>
  <pivotFields count="41"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5">
        <item x="3"/>
        <item x="0"/>
        <item x="1"/>
        <item x="2"/>
        <item t="default"/>
      </items>
    </pivotField>
    <pivotField compact="0" outline="0" subtotalTop="0" showAll="0" includeNewItemsInFilter="1"/>
    <pivotField axis="axisCol" compact="0" outline="0" subtotalTop="0" showAll="0" includeNewItemsInFilter="1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Fields count="1">
    <field x="5"/>
  </colFields>
  <col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colItems>
  <dataFields count="1">
    <dataField name="Average of Mummichog" fld="7" subtotal="average" baseField="0" baseItem="0"/>
  </dataFields>
  <pivotTableStyleInfo showRowHeaders="1" showColHeaders="1" showRowStripes="0" showColStripes="0" showLastColumn="1"/>
</pivotTableDefinition>
</file>

<file path=xl/pivotTables/pivotTable13.xml><?xml version="1.0" encoding="utf-8"?>
<pivotTableDefinition xmlns="http://schemas.openxmlformats.org/spreadsheetml/2006/main" name="PivotTable5" cacheId="20" dataOnRows="1" applyNumberFormats="0" applyBorderFormats="0" applyFontFormats="0" applyPatternFormats="0" applyAlignmentFormats="0" applyWidthHeightFormats="1" dataCaption="Data" updatedVersion="3" asteriskTotals="1" showItems="0" showMultipleLabel="0" showMemberPropertyTips="0" useAutoFormatting="1" itemPrintTitles="1" indent="0" compact="0" compactData="0" gridDropZones="1">
  <location ref="A80:S102" firstHeaderRow="1" firstDataRow="2" firstDataCol="1"/>
  <pivotFields count="40"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 defaultSubtotal="0"/>
    <pivotField axis="axisCol" compact="0" outline="0" subtotalTop="0" showAll="0" includeNewItemsInFilter="1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 defaultSubtotal="0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-2"/>
  </rowFields>
  <rowItems count="2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</rowItems>
  <colFields count="1">
    <field x="5"/>
  </colFields>
  <col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colItems>
  <dataFields count="21">
    <dataField name="Count of Mummichog" fld="7" subtotal="count" baseField="0" baseItem="0"/>
    <dataField name="Count of  4spined stickleback" fld="8" subtotal="count" baseField="0" baseItem="0"/>
    <dataField name="Count of 3 spined stickleback" fld="9" subtotal="count" baseField="0" baseItem="0"/>
    <dataField name="Count of 9 spined stickleback" fld="10" subtotal="count" baseField="0" baseItem="0"/>
    <dataField name="Count of Silverside" fld="17" subtotal="count" baseField="0" baseItem="0"/>
    <dataField name="Count of Eel" fld="18" subtotal="count" baseField="0" baseItem="0"/>
    <dataField name="Count of grass shrimp" fld="19" subtotal="count" baseField="0" baseItem="0"/>
    <dataField name="Count of ? Shrimp" fld="20" subtotal="count" baseField="0" baseItem="0"/>
    <dataField name="Count of sand shrimp" fld="21" subtotal="count" baseField="0" baseItem="0"/>
    <dataField name="Count of mud snail" fld="22" subtotal="count" baseField="0" baseItem="0"/>
    <dataField name="Count of Green Crab" fld="24" subtotal="count" baseField="0" baseItem="0"/>
    <dataField name="Count of smelt" fld="25" subtotal="count" baseField="0" baseItem="0"/>
    <dataField name="Count of brown shrimp leech" fld="26" subtotal="count" baseField="0" baseItem="0"/>
    <dataField name="Count of green shrimp leech" fld="27" subtotal="count" baseField="0" baseItem="0"/>
    <dataField name="Count of red worm" fld="28" subtotal="count" baseField="0" baseItem="0"/>
    <dataField name="Count of amphipod" fld="29" subtotal="count" baseField="0" baseItem="0"/>
    <dataField name="Count of water skimmer" fld="30" subtotal="count" baseField="0" baseItem="0"/>
    <dataField name="Count of water beetle" fld="31" subtotal="count" baseField="0" baseItem="0"/>
    <dataField name="Count of green frog" fld="32" subtotal="count" baseField="0" baseItem="0"/>
    <dataField name="Count of isopod" fld="33" subtotal="count" baseField="0" baseItem="0"/>
    <dataField name="Count of Area" fld="3" subtotal="count" baseField="0" baseItem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7" cacheId="19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138:F151" firstHeaderRow="1" firstDataRow="2" firstDataCol="2"/>
  <pivotFields count="40">
    <pivotField compact="0" numFmtId="14" outline="0" subtotalTop="0" showAll="0" includeNewItemsInFilter="1"/>
    <pivotField axis="axisRow" compact="0" outline="0" subtotalTop="0" showAll="0" includeNewItemsInFilter="1">
      <items count="10">
        <item x="4"/>
        <item h="1" x="7"/>
        <item x="5"/>
        <item h="1" x="6"/>
        <item h="1" x="0"/>
        <item h="1" x="1"/>
        <item h="1" x="2"/>
        <item h="1" x="3"/>
        <item x="8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defaultSubtotal="0">
      <items count="5">
        <item x="2"/>
        <item x="0"/>
        <item x="1"/>
        <item x="4"/>
        <item x="3"/>
      </items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1"/>
    <field x="-2"/>
  </rowFields>
  <rowItems count="12">
    <i>
      <x/>
      <x/>
    </i>
    <i r="1" i="1">
      <x v="1"/>
    </i>
    <i r="1" i="2">
      <x v="2"/>
    </i>
    <i>
      <x v="2"/>
      <x/>
    </i>
    <i r="1" i="1">
      <x v="1"/>
    </i>
    <i r="1" i="2">
      <x v="2"/>
    </i>
    <i>
      <x v="8"/>
      <x/>
    </i>
    <i r="1" i="1">
      <x v="1"/>
    </i>
    <i r="1" i="2">
      <x v="2"/>
    </i>
    <i t="grand">
      <x/>
    </i>
    <i t="grand" i="1">
      <x/>
    </i>
    <i t="grand" i="2">
      <x/>
    </i>
  </rowItems>
  <colFields count="1">
    <field x="4"/>
  </colFields>
  <colItems count="4">
    <i>
      <x/>
    </i>
    <i>
      <x v="3"/>
    </i>
    <i>
      <x v="4"/>
    </i>
    <i t="grand">
      <x/>
    </i>
  </colItems>
  <dataFields count="3">
    <dataField name="Average of Mummichog" fld="7" subtotal="average" baseField="0" baseItem="0"/>
    <dataField name="Average of 9 spined stickleback" fld="10" subtotal="average" baseField="0" baseItem="0"/>
    <dataField name="Average of Green Crab" fld="24" subtotal="average" baseField="0" baseItem="0"/>
  </dataField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2" cacheId="19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P153:U192" firstHeaderRow="1" firstDataRow="2" firstDataCol="2"/>
  <pivotFields count="40">
    <pivotField compact="0" numFmtId="14" outline="0" subtotalTop="0" showAll="0" includeNewItemsInFilter="1"/>
    <pivotField axis="axisRow" compact="0" outline="0" subtotalTop="0" showAll="0" includeNewItemsInFilter="1">
      <items count="10">
        <item x="4"/>
        <item h="1" x="7"/>
        <item x="5"/>
        <item x="6"/>
        <item h="1" x="0"/>
        <item h="1" x="1"/>
        <item h="1" x="2"/>
        <item h="1" x="3"/>
        <item h="1" x="8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6">
        <item x="2"/>
        <item x="0"/>
        <item x="1"/>
        <item x="4"/>
        <item x="3"/>
        <item t="default"/>
      </items>
    </pivotField>
    <pivotField axis="axisRow" compact="0" outline="0" subtotalTop="0" showAll="0" includeNewItemsInFilter="1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1"/>
    <field x="5"/>
  </rowFields>
  <rowItems count="38">
    <i>
      <x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5"/>
    </i>
    <i r="1">
      <x v="16"/>
    </i>
    <i t="default">
      <x/>
    </i>
    <i>
      <x v="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t="default">
      <x v="2"/>
    </i>
    <i>
      <x v="3"/>
      <x v="4"/>
    </i>
    <i r="1">
      <x v="8"/>
    </i>
    <i r="1">
      <x v="13"/>
    </i>
    <i r="1">
      <x v="16"/>
    </i>
    <i t="default">
      <x v="3"/>
    </i>
    <i t="grand">
      <x/>
    </i>
  </rowItems>
  <colFields count="1">
    <field x="4"/>
  </colFields>
  <colItems count="4">
    <i>
      <x/>
    </i>
    <i>
      <x v="3"/>
    </i>
    <i>
      <x v="4"/>
    </i>
    <i t="grand">
      <x/>
    </i>
  </colItems>
  <dataFields count="1">
    <dataField name="Average of Mummichog" fld="7" subtotal="average" baseField="0" baseItem="0"/>
  </dataFields>
  <pivotTableStyleInfo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11" cacheId="19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B227:S230" firstHeaderRow="1" firstDataRow="2" firstDataCol="1"/>
  <pivotFields count="40"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5">
        <item h="1" x="3"/>
        <item h="1" x="0"/>
        <item h="1" x="1"/>
        <item x="2"/>
        <item t="default"/>
      </items>
    </pivotField>
    <pivotField compact="0" outline="0" subtotalTop="0" showAll="0" includeNewItemsInFilter="1"/>
    <pivotField axis="axisCol" compact="0" outline="0" subtotalTop="0" showAll="0" includeNewItemsInFilter="1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3"/>
  </rowFields>
  <rowItems count="2">
    <i>
      <x v="3"/>
    </i>
    <i t="grand">
      <x/>
    </i>
  </rowItems>
  <colFields count="1">
    <field x="5"/>
  </colFields>
  <colItems count="17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colItems>
  <dataFields count="1">
    <dataField name="Average of Mummichog" fld="7" subtotal="average" baseField="0" baseItem="0"/>
  </dataFields>
  <pivotTableStyleInfo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10" cacheId="19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E214:H219" firstHeaderRow="1" firstDataRow="2" firstDataCol="1"/>
  <pivotFields count="40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5">
        <item x="3"/>
        <item x="0"/>
        <item x="1"/>
        <item x="2"/>
        <item t="default"/>
      </items>
    </pivotField>
    <pivotField axis="axisRow" compact="0" outline="0" subtotalTop="0" showAll="0" includeNewItemsInFilter="1">
      <items count="6">
        <item h="1" x="2"/>
        <item x="0"/>
        <item x="4"/>
        <item x="1"/>
        <item h="1"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4">
    <i>
      <x v="1"/>
    </i>
    <i>
      <x v="2"/>
    </i>
    <i>
      <x v="3"/>
    </i>
    <i t="grand">
      <x/>
    </i>
  </rowItems>
  <colFields count="1">
    <field x="3"/>
  </colFields>
  <colItems count="3">
    <i>
      <x v="1"/>
    </i>
    <i>
      <x v="2"/>
    </i>
    <i t="grand">
      <x/>
    </i>
  </colItems>
  <dataFields count="1">
    <dataField name="Average of Mummichog" fld="7" subtotal="average" baseField="0" baseItem="0"/>
  </dataFields>
  <pivotTableStyleInfo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4" cacheId="24" dataOnRows="1" applyNumberFormats="0" applyBorderFormats="0" applyFontFormats="0" applyPatternFormats="0" applyAlignmentFormats="0" applyWidthHeightFormats="1" dataCaption="Data" updatedVersion="3" showItems="0" showMultipleLabel="0" showDrill="0" showMemberPropertyTips="0" useAutoFormatting="1" itemPrintTitles="1" indent="0" showHeaders="0" compact="0" compactData="0" gridDropZones="1">
  <location ref="A29:F51" firstHeaderRow="1" firstDataRow="2" firstDataCol="1"/>
  <pivotFields count="40"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dataField="1" compact="0" outline="0" subtotalTop="0" showAll="0" includeNewItemsInFilter="1">
      <items count="5">
        <item x="3"/>
        <item x="0"/>
        <item x="1"/>
        <item x="2"/>
        <item t="default"/>
      </items>
    </pivotField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 defaultSubtotal="0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-2"/>
  </rowFields>
  <rowItems count="2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21">
    <dataField name="Count of Mummichog" fld="7" subtotal="count" baseField="0" baseItem="0"/>
    <dataField name="Count of  4spined stickleback" fld="8" subtotal="count" baseField="0" baseItem="0"/>
    <dataField name="Count of 3 spined stickleback" fld="9" subtotal="count" baseField="0" baseItem="0"/>
    <dataField name="Count of 9 spined stickleback" fld="10" subtotal="count" baseField="0" baseItem="0"/>
    <dataField name="Count of Silverside" fld="17" subtotal="count" baseField="0" baseItem="0"/>
    <dataField name="Count of Eel" fld="18" subtotal="count" baseField="0" baseItem="0"/>
    <dataField name="Count of grass shrimp" fld="19" subtotal="count" baseField="0" baseItem="0"/>
    <dataField name="Count of ? Shrimp" fld="20" subtotal="count" baseField="0" baseItem="0"/>
    <dataField name="Count of sand shrimp" fld="21" subtotal="count" baseField="0" baseItem="0"/>
    <dataField name="Count of mud snail" fld="22" subtotal="count" baseField="0" baseItem="0"/>
    <dataField name="Count of Green Crab" fld="24" subtotal="count" baseField="0" baseItem="0"/>
    <dataField name="Count of smelt" fld="25" subtotal="count" baseField="0" baseItem="0"/>
    <dataField name="Count of brown shrimp leech" fld="26" subtotal="count" baseField="0" baseItem="0"/>
    <dataField name="Count of green shrimp leech" fld="27" subtotal="count" baseField="0" baseItem="0"/>
    <dataField name="Count of red worm" fld="28" subtotal="count" baseField="0" baseItem="0"/>
    <dataField name="Count of amphipod" fld="29" subtotal="count" baseField="0" baseItem="0"/>
    <dataField name="Count of water skimmer" fld="30" subtotal="count" baseField="0" baseItem="0"/>
    <dataField name="Count of water beetle" fld="31" subtotal="count" baseField="0" baseItem="0"/>
    <dataField name="Count of green frog" fld="32" subtotal="count" baseField="0" baseItem="0"/>
    <dataField name="Count of isopod" fld="33" subtotal="count" baseField="0" baseItem="0"/>
    <dataField name="Count of Area" fld="3" subtotal="count" baseField="0" baseItem="0"/>
  </dataFields>
  <formats count="1">
    <format dxfId="0">
      <pivotArea outline="0" fieldPosition="0">
        <references count="2">
          <reference field="4294967294" count="1" selected="0">
            <x v="20"/>
          </reference>
          <reference field="3" count="1" selected="0">
            <x v="0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PivotTable8" cacheId="19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157:E163" firstHeaderRow="1" firstDataRow="2" firstDataCol="1"/>
  <pivotFields count="40">
    <pivotField compact="0" numFmtId="14" outline="0" subtotalTop="0" showAll="0" includeNewItemsInFilter="1"/>
    <pivotField axis="axisRow" compact="0" outline="0" subtotalTop="0" showAll="0" includeNewItemsInFilter="1">
      <items count="10">
        <item x="4"/>
        <item h="1" x="7"/>
        <item x="5"/>
        <item x="6"/>
        <item h="1" x="0"/>
        <item h="1" x="1"/>
        <item h="1" x="2"/>
        <item h="1" x="3"/>
        <item x="8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6">
        <item x="2"/>
        <item x="0"/>
        <item x="1"/>
        <item x="4"/>
        <item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"/>
  </rowFields>
  <rowItems count="5">
    <i>
      <x/>
    </i>
    <i>
      <x v="2"/>
    </i>
    <i>
      <x v="3"/>
    </i>
    <i>
      <x v="8"/>
    </i>
    <i t="grand">
      <x/>
    </i>
  </rowItems>
  <colFields count="1">
    <field x="4"/>
  </colFields>
  <colItems count="4">
    <i>
      <x/>
    </i>
    <i>
      <x v="3"/>
    </i>
    <i>
      <x v="4"/>
    </i>
    <i t="grand">
      <x/>
    </i>
  </colItems>
  <dataFields count="1">
    <dataField name="Average of Mummichog" fld="7" subtotal="average" baseField="0" baseItem="0"/>
  </dataFields>
  <pivotTableStyleInfo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PivotTable1" cacheId="19" dataOnRows="1" applyNumberFormats="0" applyBorderFormats="0" applyFontFormats="0" applyPatternFormats="0" applyAlignmentFormats="0" applyWidthHeightFormats="1" dataCaption="Data" updatedVersion="3" showItems="0" showMultipleLabel="0" showMemberPropertyTips="0" useAutoFormatting="1" itemPrintTitles="1" indent="0" compact="0" compactData="0" gridDropZones="1">
  <location ref="A4:F9" firstHeaderRow="1" firstDataRow="2" firstDataCol="1"/>
  <pivotFields count="40"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5">
        <item x="3"/>
        <item x="0"/>
        <item x="1"/>
        <item x="2"/>
        <item t="default"/>
      </items>
    </pivotField>
    <pivotField compact="0" outline="0" subtotalTop="0" showAll="0" includeNewItemsInFilter="1" defaultSubtotal="0"/>
    <pivotField compact="0" outline="0" subtotalTop="0" showAll="0" includeNewItemsInFilter="1"/>
    <pivotField axis="axisRow" compact="0" outline="0" subtotalTop="0" showAll="0" includeNewItemsInFilter="1">
      <items count="4">
        <item x="1"/>
        <item x="0"/>
        <item x="2"/>
        <item t="default"/>
      </items>
    </pivotField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6"/>
  </rowFields>
  <rowItems count="4">
    <i>
      <x/>
    </i>
    <i>
      <x v="1"/>
    </i>
    <i>
      <x v="2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Average of Mummichog" fld="7" subtotal="average" baseField="0" baseItem="0"/>
  </dataFields>
  <formats count="1">
    <format dxfId="7">
      <pivotArea outline="0" fieldPosition="0"/>
    </format>
  </formats>
  <pivotTableStyleInfo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PivotTable2" cacheId="19" dataOnRows="1" applyNumberFormats="0" applyBorderFormats="0" applyFontFormats="0" applyPatternFormats="0" applyAlignmentFormats="0" applyWidthHeightFormats="1" dataCaption="Data" updatedVersion="3" showItems="0" showMultipleLabel="0" showMemberPropertyTips="0" useAutoFormatting="1" itemPrintTitles="1" indent="0" compact="0" compactData="0" gridDropZones="1">
  <location ref="A14:F19" firstHeaderRow="1" firstDataRow="2" firstDataCol="1"/>
  <pivotFields count="40"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5">
        <item x="3"/>
        <item x="0"/>
        <item x="1"/>
        <item x="2"/>
        <item t="default"/>
      </items>
    </pivotField>
    <pivotField compact="0" outline="0" subtotalTop="0" showAll="0" includeNewItemsInFilter="1" defaultSubtotal="0"/>
    <pivotField compact="0" outline="0" subtotalTop="0" showAll="0" includeNewItemsInFilter="1"/>
    <pivotField axis="axisRow" compact="0" outline="0" subtotalTop="0" showAll="0" includeNewItemsInFilter="1">
      <items count="4">
        <item x="1"/>
        <item x="0"/>
        <item x="2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6"/>
  </rowFields>
  <rowItems count="4">
    <i>
      <x/>
    </i>
    <i>
      <x v="1"/>
    </i>
    <i>
      <x v="2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Average of Vol. Mummichog" fld="37" subtotal="average" baseField="0" baseItem="0"/>
  </dataFields>
  <formats count="1">
    <format dxfId="8">
      <pivotArea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ivotTable" Target="../pivotTables/pivotTable13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410"/>
  <sheetViews>
    <sheetView zoomScaleNormal="100" workbookViewId="0">
      <pane xSplit="2" ySplit="7" topLeftCell="C134" activePane="bottomRight" state="frozenSplit"/>
      <selection pane="topRight" activeCell="C1" sqref="C1"/>
      <selection pane="bottomLeft" activeCell="A8" sqref="A8"/>
      <selection pane="bottomRight" activeCell="A290" sqref="A290:XFD290"/>
    </sheetView>
  </sheetViews>
  <sheetFormatPr defaultColWidth="8.85546875" defaultRowHeight="12.75"/>
  <cols>
    <col min="1" max="1" width="11" style="15" customWidth="1"/>
    <col min="2" max="2" width="17" customWidth="1"/>
    <col min="3" max="3" width="7.7109375" customWidth="1"/>
    <col min="4" max="4" width="17.42578125" customWidth="1"/>
    <col min="5" max="5" width="12.42578125" customWidth="1"/>
    <col min="6" max="6" width="8.5703125" customWidth="1"/>
    <col min="7" max="7" width="7.7109375" bestFit="1" customWidth="1"/>
    <col min="8" max="8" width="5.85546875" customWidth="1"/>
    <col min="9" max="9" width="4.42578125" customWidth="1"/>
    <col min="10" max="10" width="4.28515625" customWidth="1"/>
    <col min="11" max="11" width="4" customWidth="1"/>
    <col min="12" max="12" width="7" style="8" hidden="1" customWidth="1"/>
    <col min="13" max="13" width="8.140625" style="5" hidden="1" customWidth="1"/>
    <col min="14" max="14" width="8.42578125" hidden="1" customWidth="1"/>
    <col min="15" max="15" width="8.7109375" hidden="1" customWidth="1"/>
    <col min="16" max="16" width="7.85546875" hidden="1" customWidth="1"/>
    <col min="17" max="18" width="4" customWidth="1"/>
    <col min="19" max="21" width="3.85546875" customWidth="1"/>
    <col min="22" max="24" width="4.7109375" customWidth="1"/>
    <col min="25" max="29" width="5.28515625" customWidth="1"/>
    <col min="30" max="30" width="7.5703125" customWidth="1"/>
    <col min="31" max="34" width="5.28515625" customWidth="1"/>
    <col min="35" max="35" width="4.28515625" customWidth="1"/>
    <col min="36" max="36" width="8.42578125" customWidth="1"/>
    <col min="37" max="37" width="9.85546875" customWidth="1"/>
    <col min="38" max="38" width="5.140625" style="23" customWidth="1"/>
    <col min="39" max="40" width="5.140625" customWidth="1"/>
    <col min="41" max="41" width="8.85546875" customWidth="1"/>
    <col min="42" max="42" width="7.140625" customWidth="1"/>
    <col min="43" max="43" width="25.42578125" customWidth="1"/>
  </cols>
  <sheetData>
    <row r="1" spans="1:79" ht="12.75" customHeight="1">
      <c r="A1" s="27" t="s">
        <v>18</v>
      </c>
      <c r="D1" s="11" t="s">
        <v>19</v>
      </c>
      <c r="E1" s="11"/>
      <c r="F1" s="11"/>
      <c r="G1" s="11"/>
      <c r="H1" t="s">
        <v>107</v>
      </c>
      <c r="T1" t="s">
        <v>111</v>
      </c>
    </row>
    <row r="2" spans="1:79">
      <c r="A2" s="15" t="s">
        <v>20</v>
      </c>
      <c r="H2" t="s">
        <v>142</v>
      </c>
      <c r="AB2" t="s">
        <v>140</v>
      </c>
      <c r="AD2">
        <f>SUM(H8:H381)</f>
        <v>33947</v>
      </c>
    </row>
    <row r="3" spans="1:79">
      <c r="A3" s="15" t="s">
        <v>21</v>
      </c>
    </row>
    <row r="4" spans="1:79">
      <c r="A4" s="15" t="s">
        <v>22</v>
      </c>
      <c r="W4" t="s">
        <v>114</v>
      </c>
    </row>
    <row r="5" spans="1:79">
      <c r="H5" s="11" t="s">
        <v>23</v>
      </c>
      <c r="Z5" t="s">
        <v>116</v>
      </c>
      <c r="AL5" s="29" t="s">
        <v>24</v>
      </c>
      <c r="AM5" s="11"/>
      <c r="AN5" s="11"/>
    </row>
    <row r="6" spans="1:79">
      <c r="A6" s="15" t="s">
        <v>132</v>
      </c>
      <c r="I6" s="11" t="s">
        <v>25</v>
      </c>
    </row>
    <row r="7" spans="1:79" ht="65.25" customHeight="1">
      <c r="A7" s="28" t="s">
        <v>26</v>
      </c>
      <c r="B7" s="4" t="s">
        <v>27</v>
      </c>
      <c r="C7" s="3" t="s">
        <v>28</v>
      </c>
      <c r="D7" s="4" t="s">
        <v>29</v>
      </c>
      <c r="E7" s="4" t="s">
        <v>113</v>
      </c>
      <c r="F7" s="4" t="s">
        <v>70</v>
      </c>
      <c r="G7" s="4" t="s">
        <v>14</v>
      </c>
      <c r="H7" s="12" t="s">
        <v>30</v>
      </c>
      <c r="I7" s="12" t="s">
        <v>31</v>
      </c>
      <c r="J7" s="12" t="s">
        <v>32</v>
      </c>
      <c r="K7" s="12" t="s">
        <v>33</v>
      </c>
      <c r="L7" s="7" t="s">
        <v>34</v>
      </c>
      <c r="M7" s="6" t="s">
        <v>35</v>
      </c>
      <c r="N7" s="3" t="s">
        <v>36</v>
      </c>
      <c r="O7" s="3" t="s">
        <v>37</v>
      </c>
      <c r="P7" s="3" t="s">
        <v>38</v>
      </c>
      <c r="Q7" s="12" t="s">
        <v>39</v>
      </c>
      <c r="R7" s="12" t="s">
        <v>40</v>
      </c>
      <c r="S7" s="3" t="s">
        <v>41</v>
      </c>
      <c r="T7" s="12" t="s">
        <v>42</v>
      </c>
      <c r="U7" s="12" t="s">
        <v>17</v>
      </c>
      <c r="V7" s="12" t="s">
        <v>43</v>
      </c>
      <c r="W7" s="12" t="s">
        <v>44</v>
      </c>
      <c r="X7" s="12" t="s">
        <v>125</v>
      </c>
      <c r="Y7" s="12" t="s">
        <v>45</v>
      </c>
      <c r="Z7" s="12" t="s">
        <v>46</v>
      </c>
      <c r="AA7" s="26" t="s">
        <v>72</v>
      </c>
      <c r="AB7" s="26" t="s">
        <v>73</v>
      </c>
      <c r="AC7" s="12" t="s">
        <v>47</v>
      </c>
      <c r="AD7" s="24" t="s">
        <v>48</v>
      </c>
      <c r="AE7" s="12" t="s">
        <v>49</v>
      </c>
      <c r="AF7" s="12" t="s">
        <v>50</v>
      </c>
      <c r="AG7" s="12" t="s">
        <v>13</v>
      </c>
      <c r="AH7" s="12" t="s">
        <v>71</v>
      </c>
      <c r="AI7" s="12" t="s">
        <v>51</v>
      </c>
      <c r="AJ7" s="3" t="s">
        <v>52</v>
      </c>
      <c r="AK7" s="3" t="s">
        <v>53</v>
      </c>
      <c r="AL7" s="30" t="s">
        <v>85</v>
      </c>
      <c r="AM7" s="12" t="s">
        <v>86</v>
      </c>
      <c r="AN7" s="12" t="s">
        <v>87</v>
      </c>
      <c r="AO7" s="11" t="s">
        <v>54</v>
      </c>
      <c r="AT7" s="10"/>
    </row>
    <row r="8" spans="1:79" s="2" customFormat="1">
      <c r="A8" s="15">
        <v>35948</v>
      </c>
      <c r="B8" t="s">
        <v>60</v>
      </c>
      <c r="C8"/>
      <c r="D8" t="s">
        <v>55</v>
      </c>
      <c r="E8" t="s">
        <v>131</v>
      </c>
      <c r="F8">
        <v>1998</v>
      </c>
      <c r="G8" t="s">
        <v>15</v>
      </c>
      <c r="H8">
        <v>16</v>
      </c>
      <c r="I8">
        <v>0</v>
      </c>
      <c r="J8">
        <v>0</v>
      </c>
      <c r="K8">
        <v>0</v>
      </c>
      <c r="L8"/>
      <c r="M8"/>
      <c r="N8"/>
      <c r="O8"/>
      <c r="P8"/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f t="shared" ref="AJ8:AJ71" si="0">SUM(H8:AI8)</f>
        <v>16</v>
      </c>
      <c r="AK8">
        <v>1</v>
      </c>
      <c r="AL8" s="23">
        <v>3.4</v>
      </c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</row>
    <row r="9" spans="1:79" s="2" customFormat="1">
      <c r="A9" s="15">
        <v>35948</v>
      </c>
      <c r="B9" t="s">
        <v>61</v>
      </c>
      <c r="C9"/>
      <c r="D9" t="s">
        <v>55</v>
      </c>
      <c r="E9" t="s">
        <v>131</v>
      </c>
      <c r="F9">
        <v>1998</v>
      </c>
      <c r="G9" t="s">
        <v>15</v>
      </c>
      <c r="H9">
        <v>27</v>
      </c>
      <c r="I9">
        <v>0</v>
      </c>
      <c r="J9">
        <v>0</v>
      </c>
      <c r="K9">
        <v>0</v>
      </c>
      <c r="L9"/>
      <c r="M9"/>
      <c r="N9"/>
      <c r="O9"/>
      <c r="P9"/>
      <c r="Q9">
        <v>3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f t="shared" si="0"/>
        <v>30</v>
      </c>
      <c r="AK9">
        <v>2</v>
      </c>
      <c r="AL9" s="23">
        <v>2.27</v>
      </c>
      <c r="AM9"/>
      <c r="AN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</row>
    <row r="10" spans="1:79" s="2" customFormat="1">
      <c r="A10" s="15">
        <v>35948</v>
      </c>
      <c r="B10" t="s">
        <v>63</v>
      </c>
      <c r="D10" t="s">
        <v>55</v>
      </c>
      <c r="E10" t="s">
        <v>131</v>
      </c>
      <c r="F10">
        <v>1998</v>
      </c>
      <c r="G10" t="s">
        <v>15</v>
      </c>
      <c r="H10">
        <v>3</v>
      </c>
      <c r="I10">
        <v>0</v>
      </c>
      <c r="J10">
        <v>0</v>
      </c>
      <c r="K10">
        <v>0</v>
      </c>
      <c r="L10"/>
      <c r="M10"/>
      <c r="N10"/>
      <c r="O10"/>
      <c r="P10"/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f t="shared" si="0"/>
        <v>3</v>
      </c>
      <c r="AK10">
        <v>1</v>
      </c>
      <c r="AL10" s="23">
        <v>3.3</v>
      </c>
      <c r="AM10"/>
      <c r="AN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</row>
    <row r="11" spans="1:79" s="2" customFormat="1">
      <c r="A11" s="15">
        <v>35948</v>
      </c>
      <c r="B11" t="s">
        <v>62</v>
      </c>
      <c r="D11" t="s">
        <v>56</v>
      </c>
      <c r="E11" t="s">
        <v>130</v>
      </c>
      <c r="F11">
        <v>1998</v>
      </c>
      <c r="G11" t="s">
        <v>15</v>
      </c>
      <c r="H11">
        <v>0</v>
      </c>
      <c r="I11">
        <v>0</v>
      </c>
      <c r="J11">
        <v>0</v>
      </c>
      <c r="K11">
        <v>0</v>
      </c>
      <c r="L11"/>
      <c r="M11"/>
      <c r="N11"/>
      <c r="O11"/>
      <c r="P11"/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f t="shared" si="0"/>
        <v>0</v>
      </c>
      <c r="AK11">
        <v>0</v>
      </c>
      <c r="AL11" s="23"/>
      <c r="AM11"/>
      <c r="AN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</row>
    <row r="12" spans="1:79" s="2" customFormat="1">
      <c r="A12" s="15">
        <v>35949</v>
      </c>
      <c r="B12" t="s">
        <v>61</v>
      </c>
      <c r="D12" t="s">
        <v>55</v>
      </c>
      <c r="E12" t="s">
        <v>131</v>
      </c>
      <c r="F12">
        <v>1998</v>
      </c>
      <c r="G12" t="s">
        <v>15</v>
      </c>
      <c r="H12">
        <v>80</v>
      </c>
      <c r="I12">
        <v>0</v>
      </c>
      <c r="J12">
        <v>0</v>
      </c>
      <c r="K12">
        <v>0</v>
      </c>
      <c r="L12"/>
      <c r="M12"/>
      <c r="N12"/>
      <c r="O12"/>
      <c r="P12"/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f t="shared" si="0"/>
        <v>80</v>
      </c>
      <c r="AK12">
        <v>1</v>
      </c>
      <c r="AL12" s="23">
        <v>2.4</v>
      </c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</row>
    <row r="13" spans="1:79" s="2" customFormat="1">
      <c r="A13" s="15">
        <v>35949</v>
      </c>
      <c r="B13" s="2" t="s">
        <v>63</v>
      </c>
      <c r="D13" t="s">
        <v>55</v>
      </c>
      <c r="E13" t="s">
        <v>131</v>
      </c>
      <c r="F13">
        <v>1998</v>
      </c>
      <c r="G13" t="s">
        <v>15</v>
      </c>
      <c r="H13" s="2">
        <v>26</v>
      </c>
      <c r="I13">
        <v>0</v>
      </c>
      <c r="J13">
        <v>0</v>
      </c>
      <c r="K13">
        <v>0</v>
      </c>
      <c r="L13"/>
      <c r="M13"/>
      <c r="N13"/>
      <c r="O13"/>
      <c r="P13"/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f t="shared" si="0"/>
        <v>26</v>
      </c>
      <c r="AK13" s="2">
        <v>1</v>
      </c>
      <c r="AL13" s="31">
        <v>3.6</v>
      </c>
      <c r="AO13"/>
      <c r="AP13"/>
    </row>
    <row r="14" spans="1:79" s="2" customFormat="1">
      <c r="A14" s="15">
        <v>35949</v>
      </c>
      <c r="B14" s="2" t="s">
        <v>62</v>
      </c>
      <c r="D14" t="s">
        <v>56</v>
      </c>
      <c r="E14" t="s">
        <v>130</v>
      </c>
      <c r="F14">
        <v>1998</v>
      </c>
      <c r="G14" t="s">
        <v>15</v>
      </c>
      <c r="H14" s="2">
        <v>0</v>
      </c>
      <c r="I14">
        <v>0</v>
      </c>
      <c r="J14">
        <v>0</v>
      </c>
      <c r="K14">
        <v>0</v>
      </c>
      <c r="L14"/>
      <c r="M14"/>
      <c r="N14"/>
      <c r="O14"/>
      <c r="P14"/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f t="shared" si="0"/>
        <v>0</v>
      </c>
      <c r="AK14" s="2">
        <v>1</v>
      </c>
      <c r="AL14" s="31"/>
      <c r="AO14"/>
      <c r="AP14"/>
    </row>
    <row r="15" spans="1:79" s="2" customFormat="1">
      <c r="A15" s="14">
        <v>35950</v>
      </c>
      <c r="B15" s="2" t="s">
        <v>60</v>
      </c>
      <c r="D15" t="s">
        <v>55</v>
      </c>
      <c r="E15" t="s">
        <v>131</v>
      </c>
      <c r="F15">
        <v>1998</v>
      </c>
      <c r="G15" t="s">
        <v>15</v>
      </c>
      <c r="H15" s="2">
        <v>62</v>
      </c>
      <c r="I15">
        <v>0</v>
      </c>
      <c r="J15">
        <v>0</v>
      </c>
      <c r="K15">
        <v>0</v>
      </c>
      <c r="L15"/>
      <c r="M15"/>
      <c r="N15"/>
      <c r="O15"/>
      <c r="P15"/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f t="shared" si="0"/>
        <v>62</v>
      </c>
      <c r="AK15" s="2">
        <v>1</v>
      </c>
      <c r="AL15" s="31">
        <v>2.1</v>
      </c>
      <c r="AO15"/>
      <c r="AP15"/>
    </row>
    <row r="16" spans="1:79" s="2" customFormat="1">
      <c r="A16" s="14">
        <v>35950</v>
      </c>
      <c r="B16" s="2" t="s">
        <v>61</v>
      </c>
      <c r="D16" t="s">
        <v>55</v>
      </c>
      <c r="E16" t="s">
        <v>131</v>
      </c>
      <c r="F16">
        <v>1998</v>
      </c>
      <c r="G16" t="s">
        <v>15</v>
      </c>
      <c r="H16" s="2">
        <v>2</v>
      </c>
      <c r="I16">
        <v>0</v>
      </c>
      <c r="J16">
        <v>0</v>
      </c>
      <c r="K16">
        <v>0</v>
      </c>
      <c r="L16"/>
      <c r="M16"/>
      <c r="N16"/>
      <c r="O16"/>
      <c r="P16"/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f t="shared" si="0"/>
        <v>2</v>
      </c>
      <c r="AK16" s="2">
        <v>1</v>
      </c>
      <c r="AL16" s="31"/>
      <c r="AO16"/>
      <c r="AP16"/>
    </row>
    <row r="17" spans="1:44" s="2" customFormat="1">
      <c r="A17" s="14">
        <v>35950</v>
      </c>
      <c r="B17" s="2" t="s">
        <v>63</v>
      </c>
      <c r="D17" t="s">
        <v>55</v>
      </c>
      <c r="E17" t="s">
        <v>131</v>
      </c>
      <c r="F17">
        <v>1998</v>
      </c>
      <c r="G17" t="s">
        <v>15</v>
      </c>
      <c r="H17" s="2">
        <v>36</v>
      </c>
      <c r="I17">
        <v>0</v>
      </c>
      <c r="J17">
        <v>0</v>
      </c>
      <c r="K17">
        <v>0</v>
      </c>
      <c r="L17"/>
      <c r="M17"/>
      <c r="N17"/>
      <c r="O17"/>
      <c r="P17"/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f t="shared" si="0"/>
        <v>36</v>
      </c>
      <c r="AK17" s="2">
        <v>1</v>
      </c>
      <c r="AL17" s="31">
        <v>1.7</v>
      </c>
      <c r="AO17"/>
      <c r="AP17"/>
    </row>
    <row r="18" spans="1:44" s="2" customFormat="1">
      <c r="A18" s="14">
        <v>35950</v>
      </c>
      <c r="B18" t="s">
        <v>62</v>
      </c>
      <c r="D18" t="s">
        <v>56</v>
      </c>
      <c r="E18" t="s">
        <v>130</v>
      </c>
      <c r="F18">
        <v>1998</v>
      </c>
      <c r="G18" t="s">
        <v>15</v>
      </c>
      <c r="H18" s="2">
        <v>0</v>
      </c>
      <c r="I18">
        <v>0</v>
      </c>
      <c r="J18">
        <v>0</v>
      </c>
      <c r="K18">
        <v>0</v>
      </c>
      <c r="L18"/>
      <c r="M18"/>
      <c r="N18"/>
      <c r="O18"/>
      <c r="P18"/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f t="shared" si="0"/>
        <v>0</v>
      </c>
      <c r="AK18" s="2">
        <v>0</v>
      </c>
      <c r="AL18" s="31"/>
      <c r="AO18"/>
      <c r="AP18"/>
    </row>
    <row r="19" spans="1:44" s="2" customFormat="1">
      <c r="A19" s="14">
        <v>35955</v>
      </c>
      <c r="B19" s="2" t="s">
        <v>60</v>
      </c>
      <c r="D19" t="s">
        <v>55</v>
      </c>
      <c r="E19" t="s">
        <v>131</v>
      </c>
      <c r="F19">
        <v>1998</v>
      </c>
      <c r="G19" t="s">
        <v>15</v>
      </c>
      <c r="H19" s="2">
        <v>15</v>
      </c>
      <c r="I19">
        <v>0</v>
      </c>
      <c r="J19">
        <v>0</v>
      </c>
      <c r="K19">
        <v>0</v>
      </c>
      <c r="Q19" s="2">
        <v>1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f t="shared" si="0"/>
        <v>16</v>
      </c>
      <c r="AK19" s="2">
        <v>3</v>
      </c>
      <c r="AL19" s="31">
        <v>1.6</v>
      </c>
      <c r="AO19"/>
      <c r="AP19"/>
    </row>
    <row r="20" spans="1:44" s="2" customFormat="1">
      <c r="A20" s="14">
        <v>35955</v>
      </c>
      <c r="B20" s="2" t="s">
        <v>61</v>
      </c>
      <c r="D20" t="s">
        <v>55</v>
      </c>
      <c r="E20" t="s">
        <v>131</v>
      </c>
      <c r="F20">
        <v>1998</v>
      </c>
      <c r="G20" t="s">
        <v>15</v>
      </c>
      <c r="H20" s="2">
        <v>1</v>
      </c>
      <c r="I20">
        <v>0</v>
      </c>
      <c r="J20">
        <v>0</v>
      </c>
      <c r="K20">
        <v>0</v>
      </c>
      <c r="Q20">
        <v>0</v>
      </c>
      <c r="R20">
        <v>0</v>
      </c>
      <c r="S20" s="2">
        <v>1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f t="shared" si="0"/>
        <v>2</v>
      </c>
      <c r="AK20" s="2">
        <v>2</v>
      </c>
      <c r="AL20" s="31">
        <v>5</v>
      </c>
      <c r="AO20"/>
      <c r="AP20"/>
    </row>
    <row r="21" spans="1:44" s="2" customFormat="1">
      <c r="A21" s="14">
        <v>35955</v>
      </c>
      <c r="B21" s="2" t="s">
        <v>63</v>
      </c>
      <c r="D21" t="s">
        <v>55</v>
      </c>
      <c r="E21" t="s">
        <v>131</v>
      </c>
      <c r="F21">
        <v>1998</v>
      </c>
      <c r="G21" t="s">
        <v>15</v>
      </c>
      <c r="H21" s="2">
        <v>10</v>
      </c>
      <c r="I21">
        <v>0</v>
      </c>
      <c r="J21">
        <v>0</v>
      </c>
      <c r="K21">
        <v>0</v>
      </c>
      <c r="L21"/>
      <c r="M21"/>
      <c r="N21"/>
      <c r="O21"/>
      <c r="P21"/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f t="shared" si="0"/>
        <v>10</v>
      </c>
      <c r="AK21" s="2">
        <v>1</v>
      </c>
      <c r="AL21" s="31">
        <v>2</v>
      </c>
    </row>
    <row r="22" spans="1:44" s="2" customFormat="1">
      <c r="A22" s="14">
        <v>35955</v>
      </c>
      <c r="B22" t="s">
        <v>62</v>
      </c>
      <c r="D22" t="s">
        <v>56</v>
      </c>
      <c r="E22" t="s">
        <v>130</v>
      </c>
      <c r="F22">
        <v>1998</v>
      </c>
      <c r="G22" t="s">
        <v>15</v>
      </c>
      <c r="H22" s="2">
        <v>0</v>
      </c>
      <c r="I22">
        <v>0</v>
      </c>
      <c r="J22">
        <v>0</v>
      </c>
      <c r="K22">
        <v>0</v>
      </c>
      <c r="L22"/>
      <c r="M22"/>
      <c r="N22"/>
      <c r="O22"/>
      <c r="P22"/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f t="shared" si="0"/>
        <v>0</v>
      </c>
      <c r="AK22" s="2">
        <v>0</v>
      </c>
      <c r="AL22" s="31"/>
    </row>
    <row r="23" spans="1:44" s="2" customFormat="1">
      <c r="A23" s="14">
        <v>35956</v>
      </c>
      <c r="B23" s="2" t="s">
        <v>60</v>
      </c>
      <c r="D23" t="s">
        <v>55</v>
      </c>
      <c r="E23" t="s">
        <v>131</v>
      </c>
      <c r="F23">
        <v>1998</v>
      </c>
      <c r="G23" t="s">
        <v>15</v>
      </c>
      <c r="H23" s="2">
        <v>56</v>
      </c>
      <c r="I23">
        <v>0</v>
      </c>
      <c r="J23">
        <v>0</v>
      </c>
      <c r="K23">
        <v>0</v>
      </c>
      <c r="L23"/>
      <c r="M23"/>
      <c r="N23"/>
      <c r="O23"/>
      <c r="P23"/>
      <c r="Q23">
        <v>0</v>
      </c>
      <c r="R23" s="2">
        <v>1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f t="shared" si="0"/>
        <v>57</v>
      </c>
      <c r="AK23" s="2">
        <v>2</v>
      </c>
      <c r="AL23" s="31">
        <v>1.6</v>
      </c>
      <c r="AO23" s="9"/>
    </row>
    <row r="24" spans="1:44" s="2" customFormat="1">
      <c r="A24" s="14">
        <v>35956</v>
      </c>
      <c r="B24" t="s">
        <v>61</v>
      </c>
      <c r="D24" t="s">
        <v>55</v>
      </c>
      <c r="E24" t="s">
        <v>131</v>
      </c>
      <c r="F24">
        <v>1998</v>
      </c>
      <c r="G24" t="s">
        <v>15</v>
      </c>
      <c r="H24">
        <v>69</v>
      </c>
      <c r="I24">
        <v>0</v>
      </c>
      <c r="J24">
        <v>0</v>
      </c>
      <c r="K24">
        <v>0</v>
      </c>
      <c r="L24"/>
      <c r="M24"/>
      <c r="N24"/>
      <c r="O24"/>
      <c r="P24"/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f t="shared" si="0"/>
        <v>69</v>
      </c>
      <c r="AK24">
        <v>1</v>
      </c>
      <c r="AL24" s="23">
        <v>2.17</v>
      </c>
      <c r="AM24"/>
      <c r="AN24"/>
      <c r="AO24"/>
      <c r="AP24"/>
    </row>
    <row r="25" spans="1:44" s="2" customFormat="1">
      <c r="A25" s="14">
        <v>35956</v>
      </c>
      <c r="B25" t="s">
        <v>63</v>
      </c>
      <c r="D25" t="s">
        <v>55</v>
      </c>
      <c r="E25" t="s">
        <v>131</v>
      </c>
      <c r="F25">
        <v>1998</v>
      </c>
      <c r="G25" t="s">
        <v>15</v>
      </c>
      <c r="H25"/>
      <c r="I25">
        <v>0</v>
      </c>
      <c r="J25">
        <v>0</v>
      </c>
      <c r="K25">
        <v>0</v>
      </c>
      <c r="L25"/>
      <c r="M25"/>
      <c r="N25"/>
      <c r="O25"/>
      <c r="P25"/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 s="2">
        <v>1</v>
      </c>
      <c r="AJ25">
        <f t="shared" si="0"/>
        <v>1</v>
      </c>
      <c r="AK25">
        <v>1</v>
      </c>
      <c r="AL25" s="23">
        <v>1.8</v>
      </c>
      <c r="AM25"/>
      <c r="AN25"/>
      <c r="AO25"/>
      <c r="AP25"/>
    </row>
    <row r="26" spans="1:44" s="2" customFormat="1">
      <c r="A26" s="14">
        <v>35956</v>
      </c>
      <c r="B26" t="s">
        <v>62</v>
      </c>
      <c r="D26" t="s">
        <v>56</v>
      </c>
      <c r="E26" t="s">
        <v>130</v>
      </c>
      <c r="F26">
        <v>1998</v>
      </c>
      <c r="G26" t="s">
        <v>15</v>
      </c>
      <c r="H26">
        <v>0</v>
      </c>
      <c r="I26">
        <v>0</v>
      </c>
      <c r="J26">
        <v>0</v>
      </c>
      <c r="K26">
        <v>0</v>
      </c>
      <c r="L26"/>
      <c r="M26"/>
      <c r="N26"/>
      <c r="O26"/>
      <c r="P26"/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f t="shared" si="0"/>
        <v>0</v>
      </c>
      <c r="AK26">
        <v>0</v>
      </c>
      <c r="AL26" s="23"/>
      <c r="AM26"/>
      <c r="AN26"/>
    </row>
    <row r="27" spans="1:44" s="2" customFormat="1">
      <c r="A27" s="15">
        <v>35958</v>
      </c>
      <c r="B27" t="s">
        <v>60</v>
      </c>
      <c r="D27" t="s">
        <v>55</v>
      </c>
      <c r="E27" t="s">
        <v>131</v>
      </c>
      <c r="F27">
        <v>1998</v>
      </c>
      <c r="G27" t="s">
        <v>15</v>
      </c>
      <c r="H27">
        <v>58</v>
      </c>
      <c r="I27">
        <v>0</v>
      </c>
      <c r="J27">
        <v>0</v>
      </c>
      <c r="K27">
        <v>0</v>
      </c>
      <c r="L27"/>
      <c r="M27"/>
      <c r="N27"/>
      <c r="O27"/>
      <c r="P27"/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1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f t="shared" si="0"/>
        <v>59</v>
      </c>
      <c r="AK27">
        <v>1</v>
      </c>
      <c r="AL27" s="23"/>
      <c r="AM27"/>
      <c r="AN27"/>
      <c r="AO27"/>
      <c r="AP27"/>
      <c r="AQ27"/>
      <c r="AR27"/>
    </row>
    <row r="28" spans="1:44" s="2" customFormat="1" ht="12.75" customHeight="1">
      <c r="A28" s="15">
        <v>35958</v>
      </c>
      <c r="B28" t="s">
        <v>61</v>
      </c>
      <c r="D28" t="s">
        <v>55</v>
      </c>
      <c r="E28" t="s">
        <v>131</v>
      </c>
      <c r="F28">
        <v>1998</v>
      </c>
      <c r="G28" t="s">
        <v>15</v>
      </c>
      <c r="H28">
        <v>48</v>
      </c>
      <c r="I28">
        <v>0</v>
      </c>
      <c r="J28">
        <v>0</v>
      </c>
      <c r="K28">
        <v>0</v>
      </c>
      <c r="L28"/>
      <c r="M28"/>
      <c r="N28"/>
      <c r="O28"/>
      <c r="P28"/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f t="shared" si="0"/>
        <v>48</v>
      </c>
      <c r="AK28">
        <v>1</v>
      </c>
      <c r="AL28" s="23"/>
      <c r="AM28"/>
      <c r="AN28"/>
      <c r="AO28"/>
      <c r="AP28"/>
      <c r="AQ28"/>
      <c r="AR28"/>
    </row>
    <row r="29" spans="1:44" s="2" customFormat="1" ht="12.75" customHeight="1">
      <c r="A29" s="15">
        <v>36070</v>
      </c>
      <c r="B29" t="s">
        <v>60</v>
      </c>
      <c r="C29" s="13">
        <v>26</v>
      </c>
      <c r="D29" t="s">
        <v>55</v>
      </c>
      <c r="E29" t="s">
        <v>131</v>
      </c>
      <c r="F29">
        <v>1998</v>
      </c>
      <c r="G29" t="s">
        <v>16</v>
      </c>
      <c r="H29">
        <v>58</v>
      </c>
      <c r="I29">
        <v>0</v>
      </c>
      <c r="J29">
        <v>0</v>
      </c>
      <c r="K29">
        <v>0</v>
      </c>
      <c r="L29"/>
      <c r="M29"/>
      <c r="N29"/>
      <c r="O29"/>
      <c r="P29"/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1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f t="shared" si="0"/>
        <v>59</v>
      </c>
      <c r="AK29">
        <v>2</v>
      </c>
      <c r="AL29" s="23">
        <v>1.6</v>
      </c>
      <c r="AM29"/>
      <c r="AN29"/>
      <c r="AO29"/>
      <c r="AP29"/>
      <c r="AQ29"/>
      <c r="AR29"/>
    </row>
    <row r="30" spans="1:44" s="2" customFormat="1" ht="12.75" customHeight="1">
      <c r="A30" s="15">
        <v>36070</v>
      </c>
      <c r="B30" t="s">
        <v>61</v>
      </c>
      <c r="C30" s="13">
        <v>25</v>
      </c>
      <c r="D30" t="s">
        <v>55</v>
      </c>
      <c r="E30" t="s">
        <v>131</v>
      </c>
      <c r="F30">
        <v>1998</v>
      </c>
      <c r="G30" t="s">
        <v>16</v>
      </c>
      <c r="H30">
        <v>110</v>
      </c>
      <c r="I30">
        <v>0</v>
      </c>
      <c r="J30">
        <v>0</v>
      </c>
      <c r="K30">
        <v>0</v>
      </c>
      <c r="L30"/>
      <c r="M30"/>
      <c r="N30"/>
      <c r="O30"/>
      <c r="P30"/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f t="shared" si="0"/>
        <v>110</v>
      </c>
      <c r="AK30">
        <v>1</v>
      </c>
      <c r="AL30" s="23">
        <v>1.6</v>
      </c>
      <c r="AM30"/>
      <c r="AN30"/>
      <c r="AO30"/>
      <c r="AP30"/>
      <c r="AQ30"/>
      <c r="AR30"/>
    </row>
    <row r="31" spans="1:44" s="2" customFormat="1" ht="12.75" customHeight="1">
      <c r="A31" s="15">
        <v>36070</v>
      </c>
      <c r="B31" t="s">
        <v>62</v>
      </c>
      <c r="C31" s="13">
        <v>24.5</v>
      </c>
      <c r="D31" t="s">
        <v>56</v>
      </c>
      <c r="E31" t="s">
        <v>130</v>
      </c>
      <c r="F31">
        <v>1998</v>
      </c>
      <c r="G31" t="s">
        <v>16</v>
      </c>
      <c r="H31">
        <v>7</v>
      </c>
      <c r="I31">
        <v>0</v>
      </c>
      <c r="J31">
        <v>0</v>
      </c>
      <c r="K31">
        <v>0</v>
      </c>
      <c r="L31"/>
      <c r="M31"/>
      <c r="N31"/>
      <c r="O31"/>
      <c r="P31"/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f t="shared" si="0"/>
        <v>7</v>
      </c>
      <c r="AK31">
        <v>1</v>
      </c>
      <c r="AL31" s="23">
        <v>1.4</v>
      </c>
      <c r="AM31"/>
      <c r="AN31"/>
      <c r="AO31"/>
      <c r="AP31"/>
      <c r="AQ31"/>
      <c r="AR31"/>
    </row>
    <row r="32" spans="1:44" s="2" customFormat="1" ht="12.75" customHeight="1">
      <c r="A32" s="14">
        <v>36080</v>
      </c>
      <c r="B32" s="2" t="s">
        <v>60</v>
      </c>
      <c r="C32" s="2">
        <v>12</v>
      </c>
      <c r="D32" t="s">
        <v>55</v>
      </c>
      <c r="E32" t="s">
        <v>131</v>
      </c>
      <c r="F32">
        <v>1998</v>
      </c>
      <c r="G32" t="s">
        <v>16</v>
      </c>
      <c r="H32" s="2">
        <v>85</v>
      </c>
      <c r="I32">
        <v>0</v>
      </c>
      <c r="J32">
        <v>0</v>
      </c>
      <c r="K32">
        <v>0</v>
      </c>
      <c r="L32"/>
      <c r="M32"/>
      <c r="N32"/>
      <c r="O32"/>
      <c r="P32"/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f t="shared" si="0"/>
        <v>85</v>
      </c>
      <c r="AK32" s="2">
        <v>1</v>
      </c>
      <c r="AL32" s="31">
        <v>1.2</v>
      </c>
      <c r="AO32"/>
      <c r="AP32"/>
      <c r="AQ32"/>
      <c r="AR32"/>
    </row>
    <row r="33" spans="1:44" s="2" customFormat="1" ht="12.75" customHeight="1">
      <c r="A33" s="14">
        <v>36080</v>
      </c>
      <c r="B33" s="2" t="s">
        <v>61</v>
      </c>
      <c r="C33" s="2">
        <v>13</v>
      </c>
      <c r="D33" t="s">
        <v>55</v>
      </c>
      <c r="E33" t="s">
        <v>131</v>
      </c>
      <c r="F33">
        <v>1998</v>
      </c>
      <c r="G33" t="s">
        <v>16</v>
      </c>
      <c r="H33" s="2">
        <v>22</v>
      </c>
      <c r="I33">
        <v>0</v>
      </c>
      <c r="J33">
        <v>0</v>
      </c>
      <c r="K33">
        <v>0</v>
      </c>
      <c r="L33"/>
      <c r="M33"/>
      <c r="N33"/>
      <c r="O33"/>
      <c r="P33"/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f t="shared" si="0"/>
        <v>22</v>
      </c>
      <c r="AK33" s="2">
        <v>1</v>
      </c>
      <c r="AL33" s="31">
        <v>1.3</v>
      </c>
      <c r="AQ33"/>
      <c r="AR33"/>
    </row>
    <row r="34" spans="1:44" s="2" customFormat="1" ht="12.75" customHeight="1">
      <c r="A34" s="14">
        <v>36080</v>
      </c>
      <c r="B34" s="2" t="s">
        <v>62</v>
      </c>
      <c r="C34" s="2">
        <v>13</v>
      </c>
      <c r="D34" t="s">
        <v>56</v>
      </c>
      <c r="E34" t="s">
        <v>130</v>
      </c>
      <c r="F34">
        <v>1998</v>
      </c>
      <c r="G34" t="s">
        <v>16</v>
      </c>
      <c r="H34" s="2">
        <v>2</v>
      </c>
      <c r="I34">
        <v>0</v>
      </c>
      <c r="J34">
        <v>0</v>
      </c>
      <c r="K34">
        <v>0</v>
      </c>
      <c r="L34"/>
      <c r="M34"/>
      <c r="N34"/>
      <c r="O34"/>
      <c r="P34"/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f t="shared" si="0"/>
        <v>2</v>
      </c>
      <c r="AK34" s="2">
        <v>1</v>
      </c>
      <c r="AL34" s="31">
        <v>1.3</v>
      </c>
      <c r="AQ34"/>
      <c r="AR34"/>
    </row>
    <row r="35" spans="1:44" s="2" customFormat="1" ht="12.75" customHeight="1">
      <c r="A35" s="14">
        <v>36081</v>
      </c>
      <c r="B35" s="2" t="s">
        <v>60</v>
      </c>
      <c r="C35" s="2">
        <v>11</v>
      </c>
      <c r="D35" t="s">
        <v>55</v>
      </c>
      <c r="E35" t="s">
        <v>131</v>
      </c>
      <c r="F35">
        <v>1998</v>
      </c>
      <c r="G35" t="s">
        <v>16</v>
      </c>
      <c r="H35" s="2">
        <v>18</v>
      </c>
      <c r="I35">
        <v>0</v>
      </c>
      <c r="J35">
        <v>0</v>
      </c>
      <c r="K35">
        <v>0</v>
      </c>
      <c r="L35"/>
      <c r="M35"/>
      <c r="N35"/>
      <c r="O35"/>
      <c r="P35"/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f t="shared" si="0"/>
        <v>18</v>
      </c>
      <c r="AK35" s="2">
        <v>1</v>
      </c>
      <c r="AL35" s="31">
        <v>1.1000000000000001</v>
      </c>
    </row>
    <row r="36" spans="1:44" s="2" customFormat="1" ht="12.75" customHeight="1">
      <c r="A36" s="14">
        <v>36081</v>
      </c>
      <c r="B36" s="2" t="s">
        <v>61</v>
      </c>
      <c r="C36" s="2">
        <v>10</v>
      </c>
      <c r="D36" t="s">
        <v>55</v>
      </c>
      <c r="E36" t="s">
        <v>131</v>
      </c>
      <c r="F36">
        <v>1998</v>
      </c>
      <c r="G36" t="s">
        <v>16</v>
      </c>
      <c r="H36" s="2">
        <v>83</v>
      </c>
      <c r="I36">
        <v>0</v>
      </c>
      <c r="J36" s="2">
        <v>1</v>
      </c>
      <c r="K36">
        <v>0</v>
      </c>
      <c r="L36"/>
      <c r="M36"/>
      <c r="N36"/>
      <c r="O36"/>
      <c r="P36"/>
      <c r="Q36">
        <v>0</v>
      </c>
      <c r="R36" s="2">
        <v>1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f t="shared" si="0"/>
        <v>85</v>
      </c>
      <c r="AK36" s="2">
        <v>3</v>
      </c>
      <c r="AL36" s="31">
        <v>1.2</v>
      </c>
      <c r="AO36" s="9"/>
    </row>
    <row r="37" spans="1:44" ht="12.75" customHeight="1">
      <c r="A37" s="14">
        <v>36081</v>
      </c>
      <c r="B37" s="2" t="s">
        <v>62</v>
      </c>
      <c r="C37" s="2">
        <v>11</v>
      </c>
      <c r="D37" t="s">
        <v>56</v>
      </c>
      <c r="E37" t="s">
        <v>130</v>
      </c>
      <c r="F37">
        <v>1998</v>
      </c>
      <c r="G37" t="s">
        <v>16</v>
      </c>
      <c r="H37" s="2">
        <v>2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f t="shared" si="0"/>
        <v>2</v>
      </c>
      <c r="AK37" s="2">
        <v>1</v>
      </c>
      <c r="AL37" s="31">
        <v>1.1000000000000001</v>
      </c>
      <c r="AM37" s="2"/>
      <c r="AN37" s="2"/>
    </row>
    <row r="38" spans="1:44" ht="12.75" customHeight="1">
      <c r="A38" s="14">
        <v>36082</v>
      </c>
      <c r="B38" s="2" t="s">
        <v>60</v>
      </c>
      <c r="C38" s="2">
        <v>11</v>
      </c>
      <c r="D38" t="s">
        <v>55</v>
      </c>
      <c r="E38" t="s">
        <v>131</v>
      </c>
      <c r="F38">
        <v>1998</v>
      </c>
      <c r="G38" t="s">
        <v>16</v>
      </c>
      <c r="H38" s="2">
        <v>90</v>
      </c>
      <c r="I38">
        <v>0</v>
      </c>
      <c r="J38">
        <v>0</v>
      </c>
      <c r="K38" s="2">
        <v>1</v>
      </c>
      <c r="L38" s="2"/>
      <c r="M38" s="2"/>
      <c r="N38" s="2"/>
      <c r="O38" s="2"/>
      <c r="P38" s="2"/>
      <c r="Q38" s="2">
        <v>0</v>
      </c>
      <c r="R38" s="2">
        <v>2</v>
      </c>
      <c r="S38">
        <v>0</v>
      </c>
      <c r="T38">
        <v>0</v>
      </c>
      <c r="U38">
        <v>0</v>
      </c>
      <c r="V38" s="2">
        <v>2</v>
      </c>
      <c r="W38">
        <v>0</v>
      </c>
      <c r="X38">
        <v>0</v>
      </c>
      <c r="Y38" s="2">
        <v>1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f t="shared" si="0"/>
        <v>96</v>
      </c>
      <c r="AK38" s="2">
        <v>4</v>
      </c>
      <c r="AL38" s="31">
        <v>1.2</v>
      </c>
      <c r="AM38" s="2"/>
      <c r="AN38" s="2"/>
    </row>
    <row r="39" spans="1:44" ht="12.75" customHeight="1">
      <c r="A39" s="14">
        <v>36082</v>
      </c>
      <c r="B39" s="2" t="s">
        <v>61</v>
      </c>
      <c r="C39" s="2">
        <v>11</v>
      </c>
      <c r="D39" t="s">
        <v>55</v>
      </c>
      <c r="E39" t="s">
        <v>131</v>
      </c>
      <c r="F39">
        <v>1998</v>
      </c>
      <c r="G39" t="s">
        <v>16</v>
      </c>
      <c r="H39" s="2">
        <v>9</v>
      </c>
      <c r="I39">
        <v>0</v>
      </c>
      <c r="J39">
        <v>0</v>
      </c>
      <c r="K39">
        <v>0</v>
      </c>
      <c r="L39"/>
      <c r="M39"/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f t="shared" si="0"/>
        <v>9</v>
      </c>
      <c r="AK39" s="2">
        <v>1</v>
      </c>
      <c r="AL39" s="31">
        <v>1.3</v>
      </c>
      <c r="AM39" s="2"/>
      <c r="AN39" s="2"/>
    </row>
    <row r="40" spans="1:44" ht="12.75" customHeight="1">
      <c r="A40" s="14">
        <v>36082</v>
      </c>
      <c r="B40" s="2" t="s">
        <v>62</v>
      </c>
      <c r="C40" s="2">
        <v>11</v>
      </c>
      <c r="D40" t="s">
        <v>56</v>
      </c>
      <c r="E40" t="s">
        <v>130</v>
      </c>
      <c r="F40">
        <v>1998</v>
      </c>
      <c r="G40" t="s">
        <v>16</v>
      </c>
      <c r="H40" s="2">
        <v>0</v>
      </c>
      <c r="I40">
        <v>0</v>
      </c>
      <c r="J40">
        <v>0</v>
      </c>
      <c r="K40">
        <v>0</v>
      </c>
      <c r="L40"/>
      <c r="M40"/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f t="shared" si="0"/>
        <v>0</v>
      </c>
      <c r="AK40" s="2">
        <v>0</v>
      </c>
      <c r="AL40" s="31"/>
      <c r="AM40" s="2"/>
      <c r="AN40" s="2"/>
    </row>
    <row r="41" spans="1:44" ht="12.75" customHeight="1">
      <c r="A41" s="15">
        <v>36452</v>
      </c>
      <c r="B41" t="s">
        <v>60</v>
      </c>
      <c r="C41" s="13">
        <v>20</v>
      </c>
      <c r="D41" t="s">
        <v>55</v>
      </c>
      <c r="E41" t="s">
        <v>131</v>
      </c>
      <c r="F41">
        <v>1999</v>
      </c>
      <c r="G41" t="s">
        <v>16</v>
      </c>
      <c r="H41">
        <v>86</v>
      </c>
      <c r="I41">
        <v>0</v>
      </c>
      <c r="J41">
        <v>0</v>
      </c>
      <c r="K41">
        <v>0</v>
      </c>
      <c r="L41"/>
      <c r="M41"/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f t="shared" si="0"/>
        <v>86</v>
      </c>
      <c r="AL41" s="23">
        <v>1.91</v>
      </c>
      <c r="AO41" s="2"/>
      <c r="AP41" s="2"/>
    </row>
    <row r="42" spans="1:44" ht="12" customHeight="1">
      <c r="A42" s="15">
        <v>36452</v>
      </c>
      <c r="B42" t="s">
        <v>61</v>
      </c>
      <c r="C42" s="13">
        <v>21.5</v>
      </c>
      <c r="D42" t="s">
        <v>55</v>
      </c>
      <c r="E42" t="s">
        <v>131</v>
      </c>
      <c r="F42">
        <v>1999</v>
      </c>
      <c r="G42" t="s">
        <v>16</v>
      </c>
      <c r="H42">
        <v>138</v>
      </c>
      <c r="I42">
        <v>0</v>
      </c>
      <c r="J42">
        <v>0</v>
      </c>
      <c r="K42">
        <v>0</v>
      </c>
      <c r="L42"/>
      <c r="M42"/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f t="shared" si="0"/>
        <v>138</v>
      </c>
      <c r="AL42" s="23">
        <v>1.95</v>
      </c>
      <c r="AO42" s="2"/>
      <c r="AP42" s="2"/>
    </row>
    <row r="43" spans="1:44">
      <c r="A43" s="15">
        <v>36452</v>
      </c>
      <c r="B43" t="s">
        <v>62</v>
      </c>
      <c r="C43" s="13">
        <v>21.5</v>
      </c>
      <c r="D43" t="s">
        <v>56</v>
      </c>
      <c r="E43" t="s">
        <v>130</v>
      </c>
      <c r="F43">
        <v>1999</v>
      </c>
      <c r="G43" t="s">
        <v>16</v>
      </c>
      <c r="H43">
        <v>0</v>
      </c>
      <c r="I43">
        <v>0</v>
      </c>
      <c r="J43">
        <v>0</v>
      </c>
      <c r="K43">
        <v>0</v>
      </c>
      <c r="L43"/>
      <c r="M43"/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f t="shared" si="0"/>
        <v>0</v>
      </c>
      <c r="AO43" s="2"/>
      <c r="AP43" s="2"/>
    </row>
    <row r="44" spans="1:44">
      <c r="A44" s="15">
        <v>36454</v>
      </c>
      <c r="B44" t="s">
        <v>61</v>
      </c>
      <c r="C44" s="13">
        <v>0</v>
      </c>
      <c r="D44" t="s">
        <v>55</v>
      </c>
      <c r="E44" t="s">
        <v>131</v>
      </c>
      <c r="F44">
        <v>1999</v>
      </c>
      <c r="G44" t="s">
        <v>16</v>
      </c>
      <c r="H44">
        <v>72</v>
      </c>
      <c r="I44">
        <v>0</v>
      </c>
      <c r="J44">
        <v>0</v>
      </c>
      <c r="K44">
        <v>0</v>
      </c>
      <c r="L44"/>
      <c r="M44"/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f t="shared" si="0"/>
        <v>72</v>
      </c>
      <c r="AL44" s="23">
        <v>2.15</v>
      </c>
      <c r="AM44" s="13"/>
      <c r="AN44" s="13"/>
      <c r="AO44" s="9"/>
      <c r="AP44" s="2"/>
    </row>
    <row r="45" spans="1:44">
      <c r="A45" s="15">
        <v>36454</v>
      </c>
      <c r="B45" t="s">
        <v>62</v>
      </c>
      <c r="C45" s="13"/>
      <c r="D45" t="s">
        <v>56</v>
      </c>
      <c r="E45" t="s">
        <v>130</v>
      </c>
      <c r="F45">
        <v>1999</v>
      </c>
      <c r="G45" t="s">
        <v>16</v>
      </c>
      <c r="H45">
        <v>12</v>
      </c>
      <c r="I45">
        <v>0</v>
      </c>
      <c r="J45">
        <v>0</v>
      </c>
      <c r="K45">
        <v>0</v>
      </c>
      <c r="L45"/>
      <c r="M45"/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f t="shared" si="0"/>
        <v>12</v>
      </c>
      <c r="AL45" s="23">
        <v>1.25</v>
      </c>
      <c r="AM45" s="13"/>
      <c r="AN45" s="13"/>
    </row>
    <row r="46" spans="1:44">
      <c r="A46" s="15">
        <v>36454</v>
      </c>
      <c r="B46" t="s">
        <v>59</v>
      </c>
      <c r="C46" s="13"/>
      <c r="D46" t="s">
        <v>138</v>
      </c>
      <c r="E46" t="s">
        <v>115</v>
      </c>
      <c r="F46">
        <v>1999</v>
      </c>
      <c r="G46" t="s">
        <v>16</v>
      </c>
      <c r="H46">
        <v>0</v>
      </c>
      <c r="I46">
        <v>0</v>
      </c>
      <c r="J46">
        <v>0</v>
      </c>
      <c r="K46">
        <v>0</v>
      </c>
      <c r="L46"/>
      <c r="M46"/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f t="shared" si="0"/>
        <v>0</v>
      </c>
      <c r="AM46" s="13"/>
      <c r="AN46" s="13"/>
      <c r="AO46" s="2"/>
      <c r="AP46" s="2"/>
    </row>
    <row r="47" spans="1:44">
      <c r="A47" s="15">
        <v>36454</v>
      </c>
      <c r="B47" t="s">
        <v>58</v>
      </c>
      <c r="C47" s="13">
        <v>23.5</v>
      </c>
      <c r="D47" t="s">
        <v>138</v>
      </c>
      <c r="E47" t="s">
        <v>115</v>
      </c>
      <c r="F47">
        <v>1999</v>
      </c>
      <c r="G47" t="s">
        <v>16</v>
      </c>
      <c r="H47">
        <v>285</v>
      </c>
      <c r="I47">
        <v>0</v>
      </c>
      <c r="J47">
        <v>0</v>
      </c>
      <c r="K47">
        <v>0</v>
      </c>
      <c r="L47"/>
      <c r="M47"/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f t="shared" si="0"/>
        <v>285</v>
      </c>
      <c r="AL47" s="23">
        <v>1.8</v>
      </c>
      <c r="AM47" s="13"/>
      <c r="AN47" s="13"/>
    </row>
    <row r="48" spans="1:44">
      <c r="A48" s="15">
        <v>36458</v>
      </c>
      <c r="B48" t="s">
        <v>63</v>
      </c>
      <c r="C48" s="13">
        <v>20</v>
      </c>
      <c r="D48" t="s">
        <v>55</v>
      </c>
      <c r="E48" t="s">
        <v>131</v>
      </c>
      <c r="F48">
        <v>1999</v>
      </c>
      <c r="G48" t="s">
        <v>16</v>
      </c>
      <c r="I48">
        <v>0</v>
      </c>
      <c r="J48">
        <v>0</v>
      </c>
      <c r="K48">
        <v>0</v>
      </c>
      <c r="L48"/>
      <c r="M48"/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f t="shared" si="0"/>
        <v>0</v>
      </c>
      <c r="AL48" s="23">
        <v>3.21</v>
      </c>
    </row>
    <row r="49" spans="1:41">
      <c r="A49" s="15">
        <v>36458</v>
      </c>
      <c r="B49" t="s">
        <v>62</v>
      </c>
      <c r="C49" s="13">
        <v>3.5</v>
      </c>
      <c r="D49" t="s">
        <v>56</v>
      </c>
      <c r="E49" t="s">
        <v>130</v>
      </c>
      <c r="F49">
        <v>1999</v>
      </c>
      <c r="G49" t="s">
        <v>16</v>
      </c>
      <c r="H49">
        <v>13</v>
      </c>
      <c r="I49">
        <v>0</v>
      </c>
      <c r="J49">
        <v>0</v>
      </c>
      <c r="K49">
        <v>0</v>
      </c>
      <c r="L49"/>
      <c r="M49"/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f t="shared" si="0"/>
        <v>13</v>
      </c>
      <c r="AL49" s="23">
        <v>2.84</v>
      </c>
    </row>
    <row r="50" spans="1:41">
      <c r="A50" s="15">
        <v>36458</v>
      </c>
      <c r="B50" t="s">
        <v>59</v>
      </c>
      <c r="C50" s="13">
        <v>2.5</v>
      </c>
      <c r="D50" t="s">
        <v>138</v>
      </c>
      <c r="E50" t="s">
        <v>115</v>
      </c>
      <c r="F50">
        <v>1999</v>
      </c>
      <c r="G50" t="s">
        <v>16</v>
      </c>
      <c r="H50">
        <v>74</v>
      </c>
      <c r="I50">
        <v>0</v>
      </c>
      <c r="J50">
        <v>0</v>
      </c>
      <c r="K50">
        <v>0</v>
      </c>
      <c r="L50"/>
      <c r="M50"/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f t="shared" si="0"/>
        <v>74</v>
      </c>
      <c r="AL50" s="23">
        <v>2.2200000000000002</v>
      </c>
    </row>
    <row r="51" spans="1:41">
      <c r="A51" s="15">
        <v>36458</v>
      </c>
      <c r="B51" t="s">
        <v>58</v>
      </c>
      <c r="C51" s="13"/>
      <c r="D51" t="s">
        <v>138</v>
      </c>
      <c r="E51" t="s">
        <v>115</v>
      </c>
      <c r="F51">
        <v>1999</v>
      </c>
      <c r="G51" t="s">
        <v>16</v>
      </c>
      <c r="H51">
        <v>21</v>
      </c>
      <c r="I51">
        <v>0</v>
      </c>
      <c r="J51">
        <v>0</v>
      </c>
      <c r="K51">
        <v>0</v>
      </c>
      <c r="L51"/>
      <c r="M51"/>
      <c r="Q51">
        <v>1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f t="shared" si="0"/>
        <v>22</v>
      </c>
      <c r="AL51" s="23">
        <v>3.81</v>
      </c>
    </row>
    <row r="52" spans="1:41">
      <c r="A52" s="15">
        <v>36459</v>
      </c>
      <c r="B52" t="s">
        <v>60</v>
      </c>
      <c r="C52" s="13">
        <v>26</v>
      </c>
      <c r="D52" t="s">
        <v>55</v>
      </c>
      <c r="E52" t="s">
        <v>131</v>
      </c>
      <c r="F52">
        <v>1999</v>
      </c>
      <c r="G52" t="s">
        <v>16</v>
      </c>
      <c r="H52">
        <v>24</v>
      </c>
      <c r="I52">
        <v>0</v>
      </c>
      <c r="J52">
        <v>0</v>
      </c>
      <c r="K52">
        <v>0</v>
      </c>
      <c r="L52"/>
      <c r="M52"/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10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f t="shared" si="0"/>
        <v>34</v>
      </c>
      <c r="AL52" s="23">
        <v>2.54</v>
      </c>
    </row>
    <row r="53" spans="1:41">
      <c r="A53" s="15">
        <v>36459</v>
      </c>
      <c r="B53" t="s">
        <v>61</v>
      </c>
      <c r="C53" s="13">
        <v>26</v>
      </c>
      <c r="D53" t="s">
        <v>55</v>
      </c>
      <c r="E53" t="s">
        <v>131</v>
      </c>
      <c r="F53">
        <v>1999</v>
      </c>
      <c r="G53" t="s">
        <v>16</v>
      </c>
      <c r="H53">
        <v>23</v>
      </c>
      <c r="I53">
        <v>0</v>
      </c>
      <c r="J53">
        <v>0</v>
      </c>
      <c r="K53">
        <v>0</v>
      </c>
      <c r="L53"/>
      <c r="M53"/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f t="shared" si="0"/>
        <v>23</v>
      </c>
      <c r="AL53" s="23">
        <v>2.6</v>
      </c>
    </row>
    <row r="54" spans="1:41">
      <c r="A54" s="15">
        <v>36459</v>
      </c>
      <c r="B54" t="s">
        <v>63</v>
      </c>
      <c r="C54" s="13">
        <v>18.5</v>
      </c>
      <c r="D54" t="s">
        <v>55</v>
      </c>
      <c r="E54" t="s">
        <v>131</v>
      </c>
      <c r="F54">
        <v>1999</v>
      </c>
      <c r="G54" t="s">
        <v>16</v>
      </c>
      <c r="H54">
        <v>38</v>
      </c>
      <c r="I54">
        <v>0</v>
      </c>
      <c r="J54">
        <v>0</v>
      </c>
      <c r="K54">
        <v>0</v>
      </c>
      <c r="L54"/>
      <c r="M54"/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f t="shared" si="0"/>
        <v>38</v>
      </c>
      <c r="AL54" s="23">
        <v>3.3</v>
      </c>
    </row>
    <row r="55" spans="1:41">
      <c r="A55" s="15">
        <v>36459</v>
      </c>
      <c r="B55" t="s">
        <v>62</v>
      </c>
      <c r="C55" s="13">
        <v>19.5</v>
      </c>
      <c r="D55" t="s">
        <v>56</v>
      </c>
      <c r="E55" t="s">
        <v>130</v>
      </c>
      <c r="F55">
        <v>1999</v>
      </c>
      <c r="G55" t="s">
        <v>16</v>
      </c>
      <c r="H55">
        <v>8</v>
      </c>
      <c r="I55">
        <v>0</v>
      </c>
      <c r="J55">
        <v>0</v>
      </c>
      <c r="K55">
        <v>0</v>
      </c>
      <c r="L55"/>
      <c r="M55"/>
      <c r="Q55">
        <v>0</v>
      </c>
      <c r="R55">
        <v>0</v>
      </c>
      <c r="S55">
        <v>0</v>
      </c>
      <c r="T55">
        <v>0</v>
      </c>
      <c r="U55">
        <v>0</v>
      </c>
      <c r="V55">
        <v>1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f t="shared" si="0"/>
        <v>9</v>
      </c>
      <c r="AL55" s="23">
        <v>2.5</v>
      </c>
    </row>
    <row r="56" spans="1:41">
      <c r="A56" s="15">
        <v>36459</v>
      </c>
      <c r="B56" t="s">
        <v>59</v>
      </c>
      <c r="C56" s="13">
        <v>18.5</v>
      </c>
      <c r="D56" t="s">
        <v>138</v>
      </c>
      <c r="E56" t="s">
        <v>115</v>
      </c>
      <c r="F56">
        <v>1999</v>
      </c>
      <c r="G56" t="s">
        <v>16</v>
      </c>
      <c r="H56">
        <v>234</v>
      </c>
      <c r="I56">
        <v>0</v>
      </c>
      <c r="J56">
        <v>0</v>
      </c>
      <c r="K56">
        <v>0</v>
      </c>
      <c r="L56"/>
      <c r="M56"/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f t="shared" si="0"/>
        <v>234</v>
      </c>
      <c r="AL56" s="23">
        <v>2.48</v>
      </c>
    </row>
    <row r="57" spans="1:41">
      <c r="A57" s="15">
        <v>36459</v>
      </c>
      <c r="B57" t="s">
        <v>58</v>
      </c>
      <c r="C57" s="13">
        <v>18.5</v>
      </c>
      <c r="D57" t="s">
        <v>138</v>
      </c>
      <c r="E57" t="s">
        <v>115</v>
      </c>
      <c r="F57">
        <v>1999</v>
      </c>
      <c r="G57" t="s">
        <v>16</v>
      </c>
      <c r="H57">
        <v>341</v>
      </c>
      <c r="I57">
        <v>0</v>
      </c>
      <c r="J57">
        <v>0</v>
      </c>
      <c r="K57">
        <v>0</v>
      </c>
      <c r="L57"/>
      <c r="M57"/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f t="shared" si="0"/>
        <v>341</v>
      </c>
      <c r="AL57" s="23">
        <v>2.41</v>
      </c>
    </row>
    <row r="58" spans="1:41">
      <c r="A58" s="15">
        <v>36460</v>
      </c>
      <c r="B58" t="s">
        <v>63</v>
      </c>
      <c r="C58" s="13">
        <v>25.5</v>
      </c>
      <c r="D58" t="s">
        <v>55</v>
      </c>
      <c r="E58" t="s">
        <v>131</v>
      </c>
      <c r="F58">
        <v>1999</v>
      </c>
      <c r="G58" t="s">
        <v>16</v>
      </c>
      <c r="H58">
        <v>96</v>
      </c>
      <c r="I58">
        <v>0</v>
      </c>
      <c r="J58">
        <v>0</v>
      </c>
      <c r="K58">
        <v>0</v>
      </c>
      <c r="L58"/>
      <c r="M58"/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3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f t="shared" si="0"/>
        <v>99</v>
      </c>
      <c r="AL58" s="23">
        <v>2.86</v>
      </c>
    </row>
    <row r="59" spans="1:41">
      <c r="A59" s="15">
        <v>36668</v>
      </c>
      <c r="B59" t="s">
        <v>59</v>
      </c>
      <c r="D59" t="s">
        <v>138</v>
      </c>
      <c r="E59" t="s">
        <v>115</v>
      </c>
      <c r="F59">
        <v>2000</v>
      </c>
      <c r="G59" t="s">
        <v>15</v>
      </c>
      <c r="H59">
        <v>155</v>
      </c>
      <c r="I59">
        <v>0</v>
      </c>
      <c r="J59">
        <v>3</v>
      </c>
      <c r="K59">
        <v>0</v>
      </c>
      <c r="L59"/>
      <c r="M59"/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f t="shared" si="0"/>
        <v>158</v>
      </c>
      <c r="AK59">
        <v>2</v>
      </c>
      <c r="AL59" s="23">
        <v>3.3</v>
      </c>
    </row>
    <row r="60" spans="1:41">
      <c r="A60" s="15">
        <v>36668</v>
      </c>
      <c r="B60" t="s">
        <v>60</v>
      </c>
      <c r="D60" t="s">
        <v>55</v>
      </c>
      <c r="E60" t="s">
        <v>131</v>
      </c>
      <c r="F60">
        <v>2000</v>
      </c>
      <c r="G60" t="s">
        <v>15</v>
      </c>
      <c r="H60">
        <v>68</v>
      </c>
      <c r="I60">
        <v>0</v>
      </c>
      <c r="J60">
        <v>0</v>
      </c>
      <c r="K60">
        <v>0</v>
      </c>
      <c r="L60"/>
      <c r="M60"/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f t="shared" si="0"/>
        <v>68</v>
      </c>
      <c r="AK60">
        <v>1</v>
      </c>
      <c r="AL60" s="23">
        <v>2.57</v>
      </c>
    </row>
    <row r="61" spans="1:41">
      <c r="A61" s="15">
        <v>36668</v>
      </c>
      <c r="B61" t="s">
        <v>61</v>
      </c>
      <c r="D61" t="s">
        <v>55</v>
      </c>
      <c r="E61" t="s">
        <v>131</v>
      </c>
      <c r="F61">
        <v>2000</v>
      </c>
      <c r="G61" t="s">
        <v>15</v>
      </c>
      <c r="H61">
        <v>97</v>
      </c>
      <c r="I61">
        <v>0</v>
      </c>
      <c r="J61">
        <v>0</v>
      </c>
      <c r="K61">
        <v>0</v>
      </c>
      <c r="L61"/>
      <c r="M61"/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f t="shared" si="0"/>
        <v>97</v>
      </c>
      <c r="AK61">
        <v>1</v>
      </c>
      <c r="AL61" s="23">
        <v>2.57</v>
      </c>
    </row>
    <row r="62" spans="1:41">
      <c r="A62" s="15">
        <v>36668</v>
      </c>
      <c r="B62" t="s">
        <v>62</v>
      </c>
      <c r="D62" t="s">
        <v>56</v>
      </c>
      <c r="E62" t="s">
        <v>130</v>
      </c>
      <c r="F62">
        <v>2000</v>
      </c>
      <c r="G62" t="s">
        <v>15</v>
      </c>
      <c r="H62">
        <v>4</v>
      </c>
      <c r="I62">
        <v>0</v>
      </c>
      <c r="J62">
        <v>0</v>
      </c>
      <c r="K62">
        <v>0</v>
      </c>
      <c r="L62"/>
      <c r="M62"/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3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f t="shared" si="0"/>
        <v>7</v>
      </c>
      <c r="AK62">
        <v>2</v>
      </c>
      <c r="AL62" s="23">
        <v>5</v>
      </c>
      <c r="AO62" s="1"/>
    </row>
    <row r="63" spans="1:41">
      <c r="A63" s="15">
        <v>36669</v>
      </c>
      <c r="B63" t="s">
        <v>59</v>
      </c>
      <c r="D63" t="s">
        <v>138</v>
      </c>
      <c r="E63" t="s">
        <v>115</v>
      </c>
      <c r="F63">
        <v>2000</v>
      </c>
      <c r="G63" t="s">
        <v>15</v>
      </c>
      <c r="H63">
        <v>184</v>
      </c>
      <c r="I63">
        <v>0</v>
      </c>
      <c r="J63">
        <v>0</v>
      </c>
      <c r="K63">
        <v>0</v>
      </c>
      <c r="L63"/>
      <c r="M63"/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f t="shared" si="0"/>
        <v>184</v>
      </c>
      <c r="AK63">
        <v>1</v>
      </c>
      <c r="AL63" s="23">
        <v>5</v>
      </c>
    </row>
    <row r="64" spans="1:41">
      <c r="A64" s="15">
        <v>36669</v>
      </c>
      <c r="B64" t="s">
        <v>58</v>
      </c>
      <c r="D64" t="s">
        <v>138</v>
      </c>
      <c r="E64" t="s">
        <v>115</v>
      </c>
      <c r="F64">
        <v>2000</v>
      </c>
      <c r="G64" t="s">
        <v>15</v>
      </c>
      <c r="H64">
        <v>229</v>
      </c>
      <c r="I64">
        <v>0</v>
      </c>
      <c r="J64">
        <v>0</v>
      </c>
      <c r="K64">
        <v>0</v>
      </c>
      <c r="L64"/>
      <c r="M64"/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f t="shared" si="0"/>
        <v>229</v>
      </c>
      <c r="AK64">
        <v>1</v>
      </c>
      <c r="AL64" s="23">
        <v>5</v>
      </c>
    </row>
    <row r="65" spans="1:46">
      <c r="A65" s="15">
        <v>36669</v>
      </c>
      <c r="B65" t="s">
        <v>60</v>
      </c>
      <c r="D65" t="s">
        <v>55</v>
      </c>
      <c r="E65" t="s">
        <v>131</v>
      </c>
      <c r="F65">
        <v>2000</v>
      </c>
      <c r="G65" t="s">
        <v>15</v>
      </c>
      <c r="H65">
        <v>87</v>
      </c>
      <c r="I65">
        <v>0</v>
      </c>
      <c r="J65">
        <v>0</v>
      </c>
      <c r="K65">
        <v>0</v>
      </c>
      <c r="L65"/>
      <c r="M65"/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f t="shared" si="0"/>
        <v>87</v>
      </c>
      <c r="AK65">
        <v>1</v>
      </c>
      <c r="AL65" s="23">
        <v>3.32</v>
      </c>
    </row>
    <row r="66" spans="1:46">
      <c r="A66" s="15">
        <v>36669</v>
      </c>
      <c r="B66" t="s">
        <v>61</v>
      </c>
      <c r="D66" t="s">
        <v>55</v>
      </c>
      <c r="E66" t="s">
        <v>131</v>
      </c>
      <c r="F66">
        <v>2000</v>
      </c>
      <c r="G66" t="s">
        <v>15</v>
      </c>
      <c r="H66">
        <v>106</v>
      </c>
      <c r="I66">
        <v>0</v>
      </c>
      <c r="J66">
        <v>0</v>
      </c>
      <c r="K66">
        <v>0</v>
      </c>
      <c r="L66"/>
      <c r="M66"/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f t="shared" si="0"/>
        <v>106</v>
      </c>
      <c r="AK66">
        <v>1</v>
      </c>
      <c r="AL66" s="23">
        <v>2.35</v>
      </c>
    </row>
    <row r="67" spans="1:46">
      <c r="A67" s="15">
        <v>36669</v>
      </c>
      <c r="B67" t="s">
        <v>63</v>
      </c>
      <c r="D67" t="s">
        <v>55</v>
      </c>
      <c r="E67" t="s">
        <v>131</v>
      </c>
      <c r="F67">
        <v>2000</v>
      </c>
      <c r="G67" t="s">
        <v>15</v>
      </c>
      <c r="H67">
        <v>0</v>
      </c>
      <c r="I67">
        <v>0</v>
      </c>
      <c r="J67">
        <v>0</v>
      </c>
      <c r="K67">
        <v>0</v>
      </c>
      <c r="L67"/>
      <c r="M67"/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f t="shared" si="0"/>
        <v>0</v>
      </c>
      <c r="AK67">
        <v>0</v>
      </c>
    </row>
    <row r="68" spans="1:46">
      <c r="A68" s="15">
        <v>36669</v>
      </c>
      <c r="B68" t="s">
        <v>62</v>
      </c>
      <c r="D68" t="s">
        <v>56</v>
      </c>
      <c r="E68" t="s">
        <v>130</v>
      </c>
      <c r="F68">
        <v>2000</v>
      </c>
      <c r="G68" t="s">
        <v>15</v>
      </c>
      <c r="H68">
        <v>1</v>
      </c>
      <c r="I68">
        <v>0</v>
      </c>
      <c r="J68">
        <v>0</v>
      </c>
      <c r="K68">
        <v>0</v>
      </c>
      <c r="L68"/>
      <c r="M68"/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1</v>
      </c>
      <c r="AJ68">
        <f t="shared" si="0"/>
        <v>2</v>
      </c>
      <c r="AK68">
        <v>2</v>
      </c>
      <c r="AL68" s="23">
        <v>2.5</v>
      </c>
    </row>
    <row r="69" spans="1:46" ht="12.75" customHeight="1">
      <c r="A69" s="15">
        <v>36671</v>
      </c>
      <c r="B69" t="s">
        <v>59</v>
      </c>
      <c r="D69" t="s">
        <v>138</v>
      </c>
      <c r="E69" t="s">
        <v>115</v>
      </c>
      <c r="F69">
        <v>2000</v>
      </c>
      <c r="G69" t="s">
        <v>15</v>
      </c>
      <c r="H69">
        <v>89</v>
      </c>
      <c r="I69">
        <v>0</v>
      </c>
      <c r="J69">
        <v>1</v>
      </c>
      <c r="K69">
        <v>0</v>
      </c>
      <c r="L69"/>
      <c r="M69"/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f t="shared" si="0"/>
        <v>90</v>
      </c>
      <c r="AK69">
        <v>2</v>
      </c>
      <c r="AL69" s="23">
        <v>2.2000000000000002</v>
      </c>
    </row>
    <row r="70" spans="1:46" ht="12.75" customHeight="1">
      <c r="A70" s="15">
        <v>36671</v>
      </c>
      <c r="B70" t="s">
        <v>58</v>
      </c>
      <c r="D70" t="s">
        <v>138</v>
      </c>
      <c r="E70" t="s">
        <v>115</v>
      </c>
      <c r="F70">
        <v>2000</v>
      </c>
      <c r="G70" t="s">
        <v>15</v>
      </c>
      <c r="H70">
        <v>215</v>
      </c>
      <c r="I70">
        <v>0</v>
      </c>
      <c r="J70">
        <v>0</v>
      </c>
      <c r="K70">
        <v>0</v>
      </c>
      <c r="L70"/>
      <c r="M70"/>
      <c r="Q70">
        <v>0</v>
      </c>
      <c r="R70">
        <v>0</v>
      </c>
      <c r="S70">
        <v>0</v>
      </c>
      <c r="T70">
        <v>0</v>
      </c>
      <c r="U70">
        <v>0</v>
      </c>
      <c r="V70">
        <v>1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f t="shared" si="0"/>
        <v>216</v>
      </c>
      <c r="AK70">
        <v>2</v>
      </c>
      <c r="AL70" s="23">
        <v>4.3</v>
      </c>
      <c r="AT70" s="10"/>
    </row>
    <row r="71" spans="1:46">
      <c r="A71" s="15">
        <v>36671</v>
      </c>
      <c r="B71" t="s">
        <v>60</v>
      </c>
      <c r="D71" t="s">
        <v>55</v>
      </c>
      <c r="E71" t="s">
        <v>131</v>
      </c>
      <c r="F71">
        <v>2000</v>
      </c>
      <c r="G71" t="s">
        <v>15</v>
      </c>
      <c r="H71">
        <v>0</v>
      </c>
      <c r="I71">
        <v>0</v>
      </c>
      <c r="J71">
        <v>0</v>
      </c>
      <c r="K71">
        <v>0</v>
      </c>
      <c r="L71"/>
      <c r="M71"/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f t="shared" si="0"/>
        <v>0</v>
      </c>
      <c r="AK71">
        <v>0</v>
      </c>
    </row>
    <row r="72" spans="1:46">
      <c r="A72" s="15">
        <v>36671</v>
      </c>
      <c r="B72" t="s">
        <v>61</v>
      </c>
      <c r="D72" t="s">
        <v>55</v>
      </c>
      <c r="E72" t="s">
        <v>131</v>
      </c>
      <c r="F72">
        <v>2000</v>
      </c>
      <c r="G72" t="s">
        <v>15</v>
      </c>
      <c r="H72">
        <v>2</v>
      </c>
      <c r="I72">
        <v>0</v>
      </c>
      <c r="J72">
        <v>0</v>
      </c>
      <c r="K72">
        <v>0</v>
      </c>
      <c r="L72"/>
      <c r="M72"/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f t="shared" ref="AJ72:AJ108" si="1">SUM(H72:AI72)</f>
        <v>2</v>
      </c>
      <c r="AK72">
        <v>1</v>
      </c>
    </row>
    <row r="73" spans="1:46">
      <c r="A73" s="15">
        <v>36671</v>
      </c>
      <c r="B73" t="s">
        <v>63</v>
      </c>
      <c r="D73" t="s">
        <v>55</v>
      </c>
      <c r="E73" t="s">
        <v>131</v>
      </c>
      <c r="F73">
        <v>2000</v>
      </c>
      <c r="G73" t="s">
        <v>15</v>
      </c>
      <c r="H73">
        <v>4</v>
      </c>
      <c r="I73">
        <v>0</v>
      </c>
      <c r="J73">
        <v>0</v>
      </c>
      <c r="K73">
        <v>0</v>
      </c>
      <c r="L73"/>
      <c r="M73"/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f t="shared" si="1"/>
        <v>4</v>
      </c>
      <c r="AK73">
        <v>1</v>
      </c>
    </row>
    <row r="74" spans="1:46">
      <c r="A74" s="15">
        <v>36671</v>
      </c>
      <c r="B74" t="s">
        <v>62</v>
      </c>
      <c r="D74" t="s">
        <v>56</v>
      </c>
      <c r="E74" t="s">
        <v>130</v>
      </c>
      <c r="F74">
        <v>2000</v>
      </c>
      <c r="G74" t="s">
        <v>15</v>
      </c>
      <c r="H74">
        <v>0</v>
      </c>
      <c r="I74">
        <v>0</v>
      </c>
      <c r="J74">
        <v>0</v>
      </c>
      <c r="K74">
        <v>0</v>
      </c>
      <c r="L74"/>
      <c r="M74"/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f t="shared" si="1"/>
        <v>0</v>
      </c>
      <c r="AK74">
        <v>0</v>
      </c>
    </row>
    <row r="75" spans="1:46">
      <c r="A75" s="15">
        <v>36672</v>
      </c>
      <c r="B75" t="s">
        <v>63</v>
      </c>
      <c r="D75" t="s">
        <v>55</v>
      </c>
      <c r="E75" t="s">
        <v>131</v>
      </c>
      <c r="F75">
        <v>2000</v>
      </c>
      <c r="G75" t="s">
        <v>15</v>
      </c>
      <c r="H75">
        <v>66</v>
      </c>
      <c r="I75">
        <v>0</v>
      </c>
      <c r="J75">
        <v>0</v>
      </c>
      <c r="K75">
        <v>0</v>
      </c>
      <c r="L75"/>
      <c r="M75"/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f t="shared" si="1"/>
        <v>66</v>
      </c>
      <c r="AK75">
        <v>1</v>
      </c>
      <c r="AL75" s="23">
        <v>2.7</v>
      </c>
    </row>
    <row r="76" spans="1:46">
      <c r="A76" s="15">
        <v>36672</v>
      </c>
      <c r="B76" t="s">
        <v>62</v>
      </c>
      <c r="D76" t="s">
        <v>56</v>
      </c>
      <c r="E76" t="s">
        <v>130</v>
      </c>
      <c r="F76">
        <v>2000</v>
      </c>
      <c r="G76" t="s">
        <v>15</v>
      </c>
      <c r="I76">
        <v>0</v>
      </c>
      <c r="J76">
        <v>0</v>
      </c>
      <c r="K76">
        <v>0</v>
      </c>
      <c r="L76"/>
      <c r="M76"/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f t="shared" si="1"/>
        <v>0</v>
      </c>
      <c r="AK76">
        <v>0</v>
      </c>
    </row>
    <row r="77" spans="1:46">
      <c r="A77" s="15">
        <v>36787</v>
      </c>
      <c r="B77" t="s">
        <v>59</v>
      </c>
      <c r="D77" t="s">
        <v>138</v>
      </c>
      <c r="E77" t="s">
        <v>115</v>
      </c>
      <c r="F77">
        <v>2000</v>
      </c>
      <c r="G77" t="s">
        <v>16</v>
      </c>
      <c r="H77">
        <v>105</v>
      </c>
      <c r="I77">
        <v>0</v>
      </c>
      <c r="J77">
        <v>0</v>
      </c>
      <c r="K77">
        <v>0</v>
      </c>
      <c r="L77"/>
      <c r="M77"/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f t="shared" si="1"/>
        <v>105</v>
      </c>
      <c r="AK77">
        <v>1</v>
      </c>
      <c r="AL77" s="23">
        <v>1.19</v>
      </c>
    </row>
    <row r="78" spans="1:46">
      <c r="A78" s="15">
        <v>36787</v>
      </c>
      <c r="B78" t="s">
        <v>58</v>
      </c>
      <c r="D78" t="s">
        <v>138</v>
      </c>
      <c r="E78" t="s">
        <v>115</v>
      </c>
      <c r="F78">
        <v>2000</v>
      </c>
      <c r="G78" t="s">
        <v>16</v>
      </c>
      <c r="H78">
        <v>264</v>
      </c>
      <c r="I78">
        <v>0</v>
      </c>
      <c r="J78">
        <v>0</v>
      </c>
      <c r="K78">
        <v>0</v>
      </c>
      <c r="L78"/>
      <c r="M78"/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f t="shared" si="1"/>
        <v>264</v>
      </c>
      <c r="AK78">
        <v>1</v>
      </c>
      <c r="AL78" s="23">
        <v>4.45</v>
      </c>
    </row>
    <row r="79" spans="1:46">
      <c r="A79" s="15">
        <v>36787</v>
      </c>
      <c r="B79" t="s">
        <v>60</v>
      </c>
      <c r="D79" t="s">
        <v>55</v>
      </c>
      <c r="E79" t="s">
        <v>131</v>
      </c>
      <c r="F79">
        <v>2000</v>
      </c>
      <c r="G79" t="s">
        <v>16</v>
      </c>
      <c r="H79">
        <v>22</v>
      </c>
      <c r="I79">
        <v>0</v>
      </c>
      <c r="J79">
        <v>0</v>
      </c>
      <c r="K79">
        <v>0</v>
      </c>
      <c r="L79"/>
      <c r="M79"/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2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f t="shared" si="1"/>
        <v>24</v>
      </c>
      <c r="AK79">
        <v>2</v>
      </c>
      <c r="AL79" s="23">
        <v>1.2</v>
      </c>
    </row>
    <row r="80" spans="1:46">
      <c r="A80" s="15">
        <v>36787</v>
      </c>
      <c r="B80" t="s">
        <v>61</v>
      </c>
      <c r="D80" t="s">
        <v>55</v>
      </c>
      <c r="E80" t="s">
        <v>131</v>
      </c>
      <c r="F80">
        <v>2000</v>
      </c>
      <c r="G80" t="s">
        <v>16</v>
      </c>
      <c r="H80">
        <v>3</v>
      </c>
      <c r="I80">
        <v>0</v>
      </c>
      <c r="J80">
        <v>0</v>
      </c>
      <c r="K80">
        <v>0</v>
      </c>
      <c r="L80"/>
      <c r="M80"/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1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f t="shared" si="1"/>
        <v>4</v>
      </c>
      <c r="AK80">
        <v>2</v>
      </c>
      <c r="AL80" s="23">
        <v>1.67</v>
      </c>
    </row>
    <row r="81" spans="1:38">
      <c r="A81" s="15">
        <v>36787</v>
      </c>
      <c r="B81" t="s">
        <v>63</v>
      </c>
      <c r="D81" t="s">
        <v>55</v>
      </c>
      <c r="E81" t="s">
        <v>131</v>
      </c>
      <c r="F81">
        <v>2000</v>
      </c>
      <c r="G81" t="s">
        <v>16</v>
      </c>
      <c r="H81">
        <v>0</v>
      </c>
      <c r="I81">
        <v>0</v>
      </c>
      <c r="J81">
        <v>0</v>
      </c>
      <c r="K81">
        <v>0</v>
      </c>
      <c r="L81"/>
      <c r="M81"/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f t="shared" si="1"/>
        <v>0</v>
      </c>
      <c r="AK81">
        <v>0</v>
      </c>
    </row>
    <row r="82" spans="1:38">
      <c r="A82" s="15">
        <v>36787</v>
      </c>
      <c r="B82" t="s">
        <v>62</v>
      </c>
      <c r="D82" t="s">
        <v>56</v>
      </c>
      <c r="E82" t="s">
        <v>130</v>
      </c>
      <c r="F82">
        <v>2000</v>
      </c>
      <c r="G82" t="s">
        <v>16</v>
      </c>
      <c r="H82">
        <v>1</v>
      </c>
      <c r="I82">
        <v>0</v>
      </c>
      <c r="J82">
        <v>0</v>
      </c>
      <c r="K82">
        <v>0</v>
      </c>
      <c r="L82"/>
      <c r="M82"/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f t="shared" si="1"/>
        <v>1</v>
      </c>
      <c r="AK82">
        <v>1</v>
      </c>
      <c r="AL82" s="23">
        <v>2.5</v>
      </c>
    </row>
    <row r="83" spans="1:38">
      <c r="A83" s="15">
        <v>36788</v>
      </c>
      <c r="B83" t="s">
        <v>59</v>
      </c>
      <c r="D83" t="s">
        <v>138</v>
      </c>
      <c r="E83" t="s">
        <v>115</v>
      </c>
      <c r="F83">
        <v>2000</v>
      </c>
      <c r="G83" t="s">
        <v>16</v>
      </c>
      <c r="H83">
        <v>91</v>
      </c>
      <c r="I83">
        <v>0</v>
      </c>
      <c r="J83">
        <v>0</v>
      </c>
      <c r="K83">
        <v>0</v>
      </c>
      <c r="L83"/>
      <c r="M83"/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2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f t="shared" si="1"/>
        <v>93</v>
      </c>
      <c r="AK83">
        <v>2</v>
      </c>
      <c r="AL83" s="23">
        <v>1.1000000000000001</v>
      </c>
    </row>
    <row r="84" spans="1:38">
      <c r="A84" s="15">
        <v>36788</v>
      </c>
      <c r="B84" t="s">
        <v>58</v>
      </c>
      <c r="D84" t="s">
        <v>138</v>
      </c>
      <c r="E84" t="s">
        <v>115</v>
      </c>
      <c r="F84">
        <v>2000</v>
      </c>
      <c r="G84" t="s">
        <v>16</v>
      </c>
      <c r="H84">
        <v>358</v>
      </c>
      <c r="I84">
        <v>0</v>
      </c>
      <c r="J84">
        <v>0</v>
      </c>
      <c r="K84">
        <v>0</v>
      </c>
      <c r="L84"/>
      <c r="M84"/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2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f t="shared" si="1"/>
        <v>360</v>
      </c>
      <c r="AK84">
        <v>2</v>
      </c>
      <c r="AL84" s="23">
        <v>2.65</v>
      </c>
    </row>
    <row r="85" spans="1:38">
      <c r="A85" s="15">
        <v>36788</v>
      </c>
      <c r="B85" t="s">
        <v>60</v>
      </c>
      <c r="D85" t="s">
        <v>55</v>
      </c>
      <c r="E85" t="s">
        <v>131</v>
      </c>
      <c r="F85">
        <v>2000</v>
      </c>
      <c r="G85" t="s">
        <v>16</v>
      </c>
      <c r="H85">
        <v>98</v>
      </c>
      <c r="I85">
        <v>0</v>
      </c>
      <c r="J85">
        <v>0</v>
      </c>
      <c r="K85">
        <v>0</v>
      </c>
      <c r="L85"/>
      <c r="M85"/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8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f t="shared" si="1"/>
        <v>106</v>
      </c>
      <c r="AK85">
        <v>2</v>
      </c>
      <c r="AL85" s="23">
        <v>2.6</v>
      </c>
    </row>
    <row r="86" spans="1:38">
      <c r="A86" s="15">
        <v>36788</v>
      </c>
      <c r="B86" t="s">
        <v>61</v>
      </c>
      <c r="D86" t="s">
        <v>55</v>
      </c>
      <c r="E86" t="s">
        <v>131</v>
      </c>
      <c r="F86">
        <v>2000</v>
      </c>
      <c r="G86" t="s">
        <v>16</v>
      </c>
      <c r="H86">
        <v>77</v>
      </c>
      <c r="I86">
        <v>0</v>
      </c>
      <c r="J86">
        <v>0</v>
      </c>
      <c r="K86">
        <v>0</v>
      </c>
      <c r="L86"/>
      <c r="M86"/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11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f t="shared" si="1"/>
        <v>88</v>
      </c>
      <c r="AK86">
        <v>2</v>
      </c>
      <c r="AL86" s="23">
        <v>1.97</v>
      </c>
    </row>
    <row r="87" spans="1:38">
      <c r="A87" s="15">
        <v>36788</v>
      </c>
      <c r="B87" t="s">
        <v>63</v>
      </c>
      <c r="D87" t="s">
        <v>55</v>
      </c>
      <c r="E87" t="s">
        <v>131</v>
      </c>
      <c r="F87">
        <v>2000</v>
      </c>
      <c r="G87" t="s">
        <v>16</v>
      </c>
      <c r="H87">
        <v>67</v>
      </c>
      <c r="I87">
        <v>0</v>
      </c>
      <c r="J87">
        <v>0</v>
      </c>
      <c r="K87">
        <v>0</v>
      </c>
      <c r="L87"/>
      <c r="M87"/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22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f t="shared" si="1"/>
        <v>89</v>
      </c>
      <c r="AK87">
        <v>2</v>
      </c>
      <c r="AL87" s="23">
        <v>2.8</v>
      </c>
    </row>
    <row r="88" spans="1:38">
      <c r="A88" s="15">
        <v>36788</v>
      </c>
      <c r="B88" t="s">
        <v>62</v>
      </c>
      <c r="D88" t="s">
        <v>56</v>
      </c>
      <c r="E88" t="s">
        <v>130</v>
      </c>
      <c r="F88">
        <v>2000</v>
      </c>
      <c r="G88" t="s">
        <v>16</v>
      </c>
      <c r="H88">
        <v>2</v>
      </c>
      <c r="I88">
        <v>0</v>
      </c>
      <c r="J88">
        <v>0</v>
      </c>
      <c r="K88">
        <v>0</v>
      </c>
      <c r="L88"/>
      <c r="M88"/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1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f t="shared" si="1"/>
        <v>3</v>
      </c>
      <c r="AK88">
        <v>2</v>
      </c>
      <c r="AL88" s="23">
        <v>2.5</v>
      </c>
    </row>
    <row r="89" spans="1:38">
      <c r="A89" s="15">
        <v>36790</v>
      </c>
      <c r="B89" t="s">
        <v>59</v>
      </c>
      <c r="D89" t="s">
        <v>138</v>
      </c>
      <c r="E89" t="s">
        <v>115</v>
      </c>
      <c r="F89">
        <v>2000</v>
      </c>
      <c r="G89" t="s">
        <v>16</v>
      </c>
      <c r="H89">
        <v>65</v>
      </c>
      <c r="I89">
        <v>0</v>
      </c>
      <c r="J89">
        <v>0</v>
      </c>
      <c r="K89">
        <v>0</v>
      </c>
      <c r="L89"/>
      <c r="M89"/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f t="shared" si="1"/>
        <v>65</v>
      </c>
      <c r="AK89">
        <v>1</v>
      </c>
      <c r="AL89" s="23">
        <v>2.29</v>
      </c>
    </row>
    <row r="90" spans="1:38">
      <c r="A90" s="15">
        <v>36790</v>
      </c>
      <c r="B90" t="s">
        <v>58</v>
      </c>
      <c r="D90" t="s">
        <v>138</v>
      </c>
      <c r="E90" t="s">
        <v>115</v>
      </c>
      <c r="F90">
        <v>2000</v>
      </c>
      <c r="G90" t="s">
        <v>16</v>
      </c>
      <c r="H90">
        <v>244</v>
      </c>
      <c r="I90">
        <v>0</v>
      </c>
      <c r="J90">
        <v>0</v>
      </c>
      <c r="K90">
        <v>1</v>
      </c>
      <c r="L90"/>
      <c r="M90"/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f t="shared" si="1"/>
        <v>245</v>
      </c>
      <c r="AK90">
        <v>2</v>
      </c>
      <c r="AL90" s="23">
        <v>3.42</v>
      </c>
    </row>
    <row r="91" spans="1:38">
      <c r="A91" s="15">
        <v>36790</v>
      </c>
      <c r="B91" t="s">
        <v>60</v>
      </c>
      <c r="D91" t="s">
        <v>55</v>
      </c>
      <c r="E91" t="s">
        <v>131</v>
      </c>
      <c r="F91">
        <v>2000</v>
      </c>
      <c r="G91" t="s">
        <v>16</v>
      </c>
      <c r="I91">
        <v>0</v>
      </c>
      <c r="J91">
        <v>0</v>
      </c>
      <c r="K91">
        <v>0</v>
      </c>
      <c r="L91"/>
      <c r="M91"/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1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f t="shared" si="1"/>
        <v>1</v>
      </c>
      <c r="AK91">
        <v>1</v>
      </c>
    </row>
    <row r="92" spans="1:38">
      <c r="A92" s="15">
        <v>36790</v>
      </c>
      <c r="B92" t="s">
        <v>61</v>
      </c>
      <c r="D92" t="s">
        <v>55</v>
      </c>
      <c r="E92" t="s">
        <v>131</v>
      </c>
      <c r="F92">
        <v>2000</v>
      </c>
      <c r="G92" t="s">
        <v>16</v>
      </c>
      <c r="H92">
        <v>70</v>
      </c>
      <c r="I92">
        <v>0</v>
      </c>
      <c r="J92">
        <v>0</v>
      </c>
      <c r="K92">
        <v>0</v>
      </c>
      <c r="L92"/>
      <c r="M92"/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6</v>
      </c>
      <c r="Z92">
        <v>2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f t="shared" si="1"/>
        <v>78</v>
      </c>
      <c r="AK92">
        <v>3</v>
      </c>
      <c r="AL92" s="23">
        <v>1.7</v>
      </c>
    </row>
    <row r="93" spans="1:38">
      <c r="A93" s="15">
        <v>36790</v>
      </c>
      <c r="B93" t="s">
        <v>63</v>
      </c>
      <c r="D93" t="s">
        <v>55</v>
      </c>
      <c r="E93" t="s">
        <v>131</v>
      </c>
      <c r="F93">
        <v>2000</v>
      </c>
      <c r="G93" t="s">
        <v>16</v>
      </c>
      <c r="H93">
        <v>125</v>
      </c>
      <c r="I93">
        <v>0</v>
      </c>
      <c r="J93">
        <v>0</v>
      </c>
      <c r="K93">
        <v>0</v>
      </c>
      <c r="L93"/>
      <c r="M93"/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f t="shared" si="1"/>
        <v>125</v>
      </c>
      <c r="AK93">
        <v>1</v>
      </c>
      <c r="AL93" s="23">
        <v>2</v>
      </c>
    </row>
    <row r="94" spans="1:38">
      <c r="A94" s="15">
        <v>36790</v>
      </c>
      <c r="B94" t="s">
        <v>62</v>
      </c>
      <c r="D94" t="s">
        <v>56</v>
      </c>
      <c r="E94" t="s">
        <v>130</v>
      </c>
      <c r="F94">
        <v>2000</v>
      </c>
      <c r="G94" t="s">
        <v>16</v>
      </c>
      <c r="H94">
        <v>20</v>
      </c>
      <c r="I94">
        <v>0</v>
      </c>
      <c r="J94">
        <v>0</v>
      </c>
      <c r="K94">
        <v>0</v>
      </c>
      <c r="L94"/>
      <c r="M94"/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f t="shared" si="1"/>
        <v>20</v>
      </c>
      <c r="AK94">
        <v>1</v>
      </c>
      <c r="AL94" s="23">
        <v>3.5</v>
      </c>
    </row>
    <row r="95" spans="1:38">
      <c r="A95" s="15">
        <v>36798</v>
      </c>
      <c r="B95" t="s">
        <v>60</v>
      </c>
      <c r="D95" t="s">
        <v>55</v>
      </c>
      <c r="E95" t="s">
        <v>131</v>
      </c>
      <c r="F95">
        <v>2000</v>
      </c>
      <c r="G95" t="s">
        <v>16</v>
      </c>
      <c r="H95">
        <v>4</v>
      </c>
      <c r="I95">
        <v>0</v>
      </c>
      <c r="J95">
        <v>0</v>
      </c>
      <c r="K95">
        <v>0</v>
      </c>
      <c r="L95"/>
      <c r="M95"/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1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f t="shared" si="1"/>
        <v>5</v>
      </c>
      <c r="AK95">
        <v>2</v>
      </c>
      <c r="AL95" s="23">
        <v>1.5</v>
      </c>
    </row>
    <row r="96" spans="1:38">
      <c r="A96" s="15">
        <v>36798</v>
      </c>
      <c r="B96" t="s">
        <v>61</v>
      </c>
      <c r="D96" t="s">
        <v>55</v>
      </c>
      <c r="E96" t="s">
        <v>131</v>
      </c>
      <c r="F96">
        <v>2000</v>
      </c>
      <c r="G96" t="s">
        <v>16</v>
      </c>
      <c r="H96">
        <v>2</v>
      </c>
      <c r="I96">
        <v>0</v>
      </c>
      <c r="J96">
        <v>0</v>
      </c>
      <c r="K96">
        <v>0</v>
      </c>
      <c r="L96"/>
      <c r="M96"/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f t="shared" si="1"/>
        <v>2</v>
      </c>
      <c r="AK96">
        <v>1</v>
      </c>
      <c r="AL96" s="23">
        <v>2</v>
      </c>
    </row>
    <row r="97" spans="1:41">
      <c r="A97" s="15">
        <v>36798</v>
      </c>
      <c r="B97" t="s">
        <v>63</v>
      </c>
      <c r="D97" t="s">
        <v>55</v>
      </c>
      <c r="E97" t="s">
        <v>131</v>
      </c>
      <c r="F97">
        <v>2000</v>
      </c>
      <c r="G97" t="s">
        <v>16</v>
      </c>
      <c r="H97">
        <v>0</v>
      </c>
      <c r="I97">
        <v>0</v>
      </c>
      <c r="J97">
        <v>0</v>
      </c>
      <c r="K97">
        <v>0</v>
      </c>
      <c r="L97"/>
      <c r="M97"/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f t="shared" si="1"/>
        <v>0</v>
      </c>
      <c r="AK97">
        <v>0</v>
      </c>
    </row>
    <row r="98" spans="1:41">
      <c r="A98" s="15">
        <v>36798</v>
      </c>
      <c r="B98" t="s">
        <v>62</v>
      </c>
      <c r="D98" t="s">
        <v>56</v>
      </c>
      <c r="E98" t="s">
        <v>130</v>
      </c>
      <c r="F98">
        <v>2000</v>
      </c>
      <c r="G98" t="s">
        <v>16</v>
      </c>
      <c r="H98">
        <v>15</v>
      </c>
      <c r="I98">
        <v>0</v>
      </c>
      <c r="J98">
        <v>0</v>
      </c>
      <c r="K98">
        <v>0</v>
      </c>
      <c r="L98"/>
      <c r="M98"/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3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f t="shared" si="1"/>
        <v>18</v>
      </c>
      <c r="AK98">
        <v>2</v>
      </c>
      <c r="AL98" s="23">
        <v>2.66</v>
      </c>
    </row>
    <row r="99" spans="1:41">
      <c r="A99" s="15">
        <v>36798</v>
      </c>
      <c r="B99" t="s">
        <v>59</v>
      </c>
      <c r="D99" t="s">
        <v>138</v>
      </c>
      <c r="E99" t="s">
        <v>115</v>
      </c>
      <c r="F99">
        <v>2000</v>
      </c>
      <c r="G99" t="s">
        <v>16</v>
      </c>
      <c r="H99">
        <v>293</v>
      </c>
      <c r="I99">
        <v>0</v>
      </c>
      <c r="J99">
        <v>0</v>
      </c>
      <c r="K99">
        <v>0</v>
      </c>
      <c r="L99"/>
      <c r="M99"/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f t="shared" si="1"/>
        <v>293</v>
      </c>
      <c r="AK99">
        <v>1</v>
      </c>
      <c r="AL99" s="23">
        <v>2.86</v>
      </c>
    </row>
    <row r="100" spans="1:41">
      <c r="A100" s="15">
        <v>36798</v>
      </c>
      <c r="B100" t="s">
        <v>58</v>
      </c>
      <c r="D100" t="s">
        <v>138</v>
      </c>
      <c r="E100" t="s">
        <v>115</v>
      </c>
      <c r="F100">
        <v>2000</v>
      </c>
      <c r="G100" t="s">
        <v>16</v>
      </c>
      <c r="H100">
        <v>326</v>
      </c>
      <c r="I100">
        <v>0</v>
      </c>
      <c r="J100">
        <v>0</v>
      </c>
      <c r="K100">
        <v>0</v>
      </c>
      <c r="L100"/>
      <c r="M100"/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1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f t="shared" si="1"/>
        <v>327</v>
      </c>
      <c r="AK100">
        <v>2</v>
      </c>
      <c r="AL100" s="23">
        <v>2.98</v>
      </c>
    </row>
    <row r="101" spans="1:41">
      <c r="A101" s="15">
        <v>36983</v>
      </c>
      <c r="B101" t="s">
        <v>63</v>
      </c>
      <c r="D101" t="s">
        <v>55</v>
      </c>
      <c r="E101" t="s">
        <v>131</v>
      </c>
      <c r="F101">
        <v>2001</v>
      </c>
      <c r="G101" t="s">
        <v>15</v>
      </c>
      <c r="H101">
        <v>0</v>
      </c>
      <c r="I101">
        <v>0</v>
      </c>
      <c r="J101">
        <v>0</v>
      </c>
      <c r="K101">
        <v>0</v>
      </c>
      <c r="L101"/>
      <c r="M101"/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f t="shared" si="1"/>
        <v>0</v>
      </c>
      <c r="AK101">
        <v>0</v>
      </c>
    </row>
    <row r="102" spans="1:41">
      <c r="A102" s="15">
        <v>36983</v>
      </c>
      <c r="B102" t="s">
        <v>62</v>
      </c>
      <c r="D102" t="s">
        <v>56</v>
      </c>
      <c r="E102" t="s">
        <v>130</v>
      </c>
      <c r="F102">
        <v>2001</v>
      </c>
      <c r="G102" t="s">
        <v>15</v>
      </c>
      <c r="H102">
        <v>0</v>
      </c>
      <c r="I102">
        <v>0</v>
      </c>
      <c r="J102">
        <v>0</v>
      </c>
      <c r="K102">
        <v>1</v>
      </c>
      <c r="L102"/>
      <c r="M102"/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f t="shared" si="1"/>
        <v>1</v>
      </c>
      <c r="AK102">
        <v>1</v>
      </c>
    </row>
    <row r="103" spans="1:41">
      <c r="A103" s="15">
        <v>36983</v>
      </c>
      <c r="B103" t="s">
        <v>59</v>
      </c>
      <c r="D103" t="s">
        <v>138</v>
      </c>
      <c r="E103" t="s">
        <v>115</v>
      </c>
      <c r="F103">
        <v>2001</v>
      </c>
      <c r="G103" t="s">
        <v>15</v>
      </c>
      <c r="H103">
        <v>0</v>
      </c>
      <c r="I103">
        <v>0</v>
      </c>
      <c r="J103">
        <v>2</v>
      </c>
      <c r="K103">
        <v>3</v>
      </c>
      <c r="L103"/>
      <c r="M103"/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f t="shared" si="1"/>
        <v>5</v>
      </c>
      <c r="AK103">
        <v>2</v>
      </c>
    </row>
    <row r="104" spans="1:41">
      <c r="A104" s="15">
        <v>36983</v>
      </c>
      <c r="B104" t="s">
        <v>58</v>
      </c>
      <c r="D104" t="s">
        <v>138</v>
      </c>
      <c r="E104" t="s">
        <v>115</v>
      </c>
      <c r="F104">
        <v>2001</v>
      </c>
      <c r="G104" t="s">
        <v>15</v>
      </c>
      <c r="H104">
        <v>45</v>
      </c>
      <c r="I104">
        <v>0</v>
      </c>
      <c r="J104">
        <v>6</v>
      </c>
      <c r="K104">
        <v>0</v>
      </c>
      <c r="L104"/>
      <c r="M104"/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f t="shared" si="1"/>
        <v>51</v>
      </c>
      <c r="AK104">
        <v>2</v>
      </c>
      <c r="AL104" s="23">
        <f>85/45</f>
        <v>1.8888888888888888</v>
      </c>
      <c r="AO104" t="s">
        <v>66</v>
      </c>
    </row>
    <row r="105" spans="1:41">
      <c r="A105" s="15">
        <v>37053</v>
      </c>
      <c r="B105" t="s">
        <v>60</v>
      </c>
      <c r="D105" t="s">
        <v>55</v>
      </c>
      <c r="E105" t="s">
        <v>131</v>
      </c>
      <c r="F105">
        <v>2001</v>
      </c>
      <c r="G105" t="s">
        <v>15</v>
      </c>
      <c r="H105">
        <v>182</v>
      </c>
      <c r="I105">
        <v>0</v>
      </c>
      <c r="J105">
        <v>0</v>
      </c>
      <c r="K105">
        <v>0</v>
      </c>
      <c r="L105"/>
      <c r="M105"/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f t="shared" si="1"/>
        <v>182</v>
      </c>
      <c r="AK105">
        <v>1</v>
      </c>
      <c r="AL105" s="23">
        <f>650/182</f>
        <v>3.5714285714285716</v>
      </c>
      <c r="AO105" t="s">
        <v>67</v>
      </c>
    </row>
    <row r="106" spans="1:41">
      <c r="A106" s="15">
        <v>37053</v>
      </c>
      <c r="B106" t="s">
        <v>61</v>
      </c>
      <c r="D106" t="s">
        <v>55</v>
      </c>
      <c r="E106" t="s">
        <v>131</v>
      </c>
      <c r="F106">
        <v>2001</v>
      </c>
      <c r="G106" t="s">
        <v>15</v>
      </c>
      <c r="H106">
        <v>95</v>
      </c>
      <c r="I106">
        <v>0</v>
      </c>
      <c r="J106">
        <v>0</v>
      </c>
      <c r="K106">
        <v>0</v>
      </c>
      <c r="L106"/>
      <c r="M106"/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1</v>
      </c>
      <c r="Z106">
        <v>0</v>
      </c>
      <c r="AA106">
        <v>0</v>
      </c>
      <c r="AB106">
        <v>0</v>
      </c>
      <c r="AC106">
        <v>1</v>
      </c>
      <c r="AD106">
        <v>1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f t="shared" si="1"/>
        <v>98</v>
      </c>
      <c r="AK106">
        <v>4</v>
      </c>
      <c r="AL106" s="23">
        <f>325/95</f>
        <v>3.4210526315789473</v>
      </c>
      <c r="AN106">
        <v>2</v>
      </c>
    </row>
    <row r="107" spans="1:41">
      <c r="A107" s="15">
        <v>37053</v>
      </c>
      <c r="B107" t="s">
        <v>63</v>
      </c>
      <c r="D107" t="s">
        <v>55</v>
      </c>
      <c r="E107" t="s">
        <v>131</v>
      </c>
      <c r="F107">
        <v>2001</v>
      </c>
      <c r="G107" t="s">
        <v>15</v>
      </c>
      <c r="H107">
        <v>0</v>
      </c>
      <c r="I107">
        <v>0</v>
      </c>
      <c r="J107">
        <v>0</v>
      </c>
      <c r="K107">
        <v>0</v>
      </c>
      <c r="L107"/>
      <c r="M107"/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f t="shared" si="1"/>
        <v>0</v>
      </c>
      <c r="AK107">
        <v>0</v>
      </c>
    </row>
    <row r="108" spans="1:41">
      <c r="A108" s="15">
        <v>37053</v>
      </c>
      <c r="B108" t="s">
        <v>62</v>
      </c>
      <c r="D108" t="s">
        <v>56</v>
      </c>
      <c r="E108" t="s">
        <v>130</v>
      </c>
      <c r="F108">
        <v>2001</v>
      </c>
      <c r="G108" t="s">
        <v>15</v>
      </c>
      <c r="H108">
        <v>0</v>
      </c>
      <c r="I108">
        <v>0</v>
      </c>
      <c r="J108">
        <v>0</v>
      </c>
      <c r="K108">
        <v>0</v>
      </c>
      <c r="L108"/>
      <c r="M108"/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f t="shared" si="1"/>
        <v>0</v>
      </c>
      <c r="AK108">
        <v>0</v>
      </c>
    </row>
    <row r="109" spans="1:41">
      <c r="A109" s="15">
        <v>37053</v>
      </c>
      <c r="B109" t="s">
        <v>59</v>
      </c>
      <c r="D109" t="s">
        <v>138</v>
      </c>
      <c r="E109" t="s">
        <v>115</v>
      </c>
      <c r="F109">
        <v>2001</v>
      </c>
      <c r="G109" t="s">
        <v>15</v>
      </c>
      <c r="H109">
        <v>82</v>
      </c>
      <c r="I109">
        <v>0</v>
      </c>
      <c r="J109">
        <v>0</v>
      </c>
      <c r="K109">
        <v>0</v>
      </c>
      <c r="L109"/>
      <c r="M109"/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f t="shared" ref="AJ109:AJ139" si="2">SUM(H109:AI109)</f>
        <v>82</v>
      </c>
      <c r="AK109">
        <v>1</v>
      </c>
      <c r="AL109" s="23">
        <f>160/82</f>
        <v>1.9512195121951219</v>
      </c>
    </row>
    <row r="110" spans="1:41">
      <c r="A110" s="15">
        <v>37053</v>
      </c>
      <c r="B110" t="s">
        <v>58</v>
      </c>
      <c r="D110" t="s">
        <v>138</v>
      </c>
      <c r="E110" t="s">
        <v>115</v>
      </c>
      <c r="F110">
        <v>2001</v>
      </c>
      <c r="G110" t="s">
        <v>15</v>
      </c>
      <c r="H110" t="s">
        <v>64</v>
      </c>
      <c r="I110">
        <v>0</v>
      </c>
      <c r="J110">
        <v>0</v>
      </c>
      <c r="K110">
        <v>0</v>
      </c>
      <c r="L110"/>
      <c r="M110"/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100</v>
      </c>
      <c r="AK110">
        <v>1</v>
      </c>
    </row>
    <row r="111" spans="1:41">
      <c r="A111" s="15">
        <v>37054</v>
      </c>
      <c r="B111" t="s">
        <v>60</v>
      </c>
      <c r="D111" t="s">
        <v>55</v>
      </c>
      <c r="E111" t="s">
        <v>131</v>
      </c>
      <c r="F111">
        <v>2001</v>
      </c>
      <c r="G111" t="s">
        <v>15</v>
      </c>
      <c r="H111">
        <v>84</v>
      </c>
      <c r="I111">
        <v>0</v>
      </c>
      <c r="J111">
        <v>0</v>
      </c>
      <c r="K111">
        <v>0</v>
      </c>
      <c r="L111"/>
      <c r="M111"/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f t="shared" si="2"/>
        <v>84</v>
      </c>
      <c r="AK111">
        <v>1</v>
      </c>
      <c r="AL111" s="23">
        <f>300/84</f>
        <v>3.5714285714285716</v>
      </c>
    </row>
    <row r="112" spans="1:41">
      <c r="A112" s="15">
        <v>37054</v>
      </c>
      <c r="B112" t="s">
        <v>61</v>
      </c>
      <c r="D112" t="s">
        <v>55</v>
      </c>
      <c r="E112" t="s">
        <v>131</v>
      </c>
      <c r="F112">
        <v>2001</v>
      </c>
      <c r="G112" t="s">
        <v>15</v>
      </c>
      <c r="H112">
        <v>47</v>
      </c>
      <c r="I112">
        <v>0</v>
      </c>
      <c r="J112">
        <v>0</v>
      </c>
      <c r="K112">
        <v>0</v>
      </c>
      <c r="L112"/>
      <c r="M112"/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1</v>
      </c>
      <c r="AF112">
        <v>0</v>
      </c>
      <c r="AG112">
        <v>0</v>
      </c>
      <c r="AH112">
        <v>0</v>
      </c>
      <c r="AI112">
        <v>0</v>
      </c>
      <c r="AJ112">
        <f t="shared" si="2"/>
        <v>48</v>
      </c>
      <c r="AK112">
        <v>2</v>
      </c>
      <c r="AL112" s="23">
        <f>190/47</f>
        <v>4.042553191489362</v>
      </c>
    </row>
    <row r="113" spans="1:41">
      <c r="A113" s="15">
        <v>37054</v>
      </c>
      <c r="B113" t="s">
        <v>63</v>
      </c>
      <c r="D113" t="s">
        <v>55</v>
      </c>
      <c r="E113" t="s">
        <v>131</v>
      </c>
      <c r="F113">
        <v>2001</v>
      </c>
      <c r="G113" t="s">
        <v>15</v>
      </c>
      <c r="H113">
        <v>0</v>
      </c>
      <c r="I113">
        <v>0</v>
      </c>
      <c r="J113">
        <v>0</v>
      </c>
      <c r="K113">
        <v>0</v>
      </c>
      <c r="L113"/>
      <c r="M113"/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f t="shared" si="2"/>
        <v>0</v>
      </c>
      <c r="AK113">
        <v>0</v>
      </c>
    </row>
    <row r="114" spans="1:41">
      <c r="A114" s="15">
        <v>37054</v>
      </c>
      <c r="B114" t="s">
        <v>62</v>
      </c>
      <c r="D114" t="s">
        <v>56</v>
      </c>
      <c r="E114" t="s">
        <v>130</v>
      </c>
      <c r="F114">
        <v>2001</v>
      </c>
      <c r="G114" t="s">
        <v>15</v>
      </c>
      <c r="H114">
        <v>0</v>
      </c>
      <c r="I114">
        <v>0</v>
      </c>
      <c r="J114">
        <v>0</v>
      </c>
      <c r="K114">
        <v>0</v>
      </c>
      <c r="L114"/>
      <c r="M114"/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f t="shared" si="2"/>
        <v>0</v>
      </c>
      <c r="AK114">
        <v>0</v>
      </c>
    </row>
    <row r="115" spans="1:41">
      <c r="A115" s="15">
        <v>37054</v>
      </c>
      <c r="B115" t="s">
        <v>59</v>
      </c>
      <c r="D115" t="s">
        <v>138</v>
      </c>
      <c r="E115" t="s">
        <v>115</v>
      </c>
      <c r="F115">
        <v>2001</v>
      </c>
      <c r="G115" t="s">
        <v>15</v>
      </c>
      <c r="H115">
        <v>137</v>
      </c>
      <c r="I115">
        <v>0</v>
      </c>
      <c r="J115">
        <v>0</v>
      </c>
      <c r="K115">
        <v>0</v>
      </c>
      <c r="L115"/>
      <c r="M115"/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f t="shared" si="2"/>
        <v>137</v>
      </c>
      <c r="AK115">
        <v>1</v>
      </c>
      <c r="AL115" s="23">
        <f>268/137</f>
        <v>1.9562043795620438</v>
      </c>
    </row>
    <row r="116" spans="1:41">
      <c r="A116" s="15">
        <v>37054</v>
      </c>
      <c r="B116" t="s">
        <v>59</v>
      </c>
      <c r="D116" t="s">
        <v>138</v>
      </c>
      <c r="E116" t="s">
        <v>115</v>
      </c>
      <c r="F116">
        <v>2001</v>
      </c>
      <c r="G116" t="s">
        <v>15</v>
      </c>
      <c r="H116">
        <v>36</v>
      </c>
      <c r="I116">
        <v>0</v>
      </c>
      <c r="J116">
        <v>1</v>
      </c>
      <c r="K116">
        <v>0</v>
      </c>
      <c r="L116"/>
      <c r="M116"/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f t="shared" si="2"/>
        <v>37</v>
      </c>
      <c r="AK116">
        <v>2</v>
      </c>
      <c r="AL116" s="23">
        <f>85/36</f>
        <v>2.3611111111111112</v>
      </c>
    </row>
    <row r="117" spans="1:41">
      <c r="A117" s="15">
        <v>37055</v>
      </c>
      <c r="B117" t="s">
        <v>60</v>
      </c>
      <c r="D117" t="s">
        <v>55</v>
      </c>
      <c r="E117" t="s">
        <v>131</v>
      </c>
      <c r="F117">
        <v>2001</v>
      </c>
      <c r="G117" t="s">
        <v>15</v>
      </c>
      <c r="H117">
        <v>179</v>
      </c>
      <c r="I117">
        <v>0</v>
      </c>
      <c r="J117">
        <v>0</v>
      </c>
      <c r="K117">
        <v>0</v>
      </c>
      <c r="L117"/>
      <c r="M117"/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f t="shared" si="2"/>
        <v>179</v>
      </c>
      <c r="AK117">
        <v>1</v>
      </c>
      <c r="AL117" s="23">
        <f>650/179</f>
        <v>3.6312849162011172</v>
      </c>
    </row>
    <row r="118" spans="1:41">
      <c r="A118" s="15">
        <v>37055</v>
      </c>
      <c r="B118" t="s">
        <v>61</v>
      </c>
      <c r="D118" t="s">
        <v>55</v>
      </c>
      <c r="E118" t="s">
        <v>131</v>
      </c>
      <c r="F118">
        <v>2001</v>
      </c>
      <c r="G118" t="s">
        <v>15</v>
      </c>
      <c r="H118">
        <v>82</v>
      </c>
      <c r="I118">
        <v>0</v>
      </c>
      <c r="J118">
        <v>0</v>
      </c>
      <c r="K118">
        <v>0</v>
      </c>
      <c r="L118"/>
      <c r="M118"/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f t="shared" si="2"/>
        <v>82</v>
      </c>
      <c r="AK118">
        <v>1</v>
      </c>
      <c r="AL118" s="23">
        <f>315/82</f>
        <v>3.8414634146341462</v>
      </c>
    </row>
    <row r="119" spans="1:41">
      <c r="A119" s="15">
        <v>37055</v>
      </c>
      <c r="B119" t="s">
        <v>63</v>
      </c>
      <c r="D119" t="s">
        <v>55</v>
      </c>
      <c r="E119" t="s">
        <v>131</v>
      </c>
      <c r="F119">
        <v>2001</v>
      </c>
      <c r="G119" t="s">
        <v>15</v>
      </c>
      <c r="H119">
        <v>1</v>
      </c>
      <c r="I119">
        <v>0</v>
      </c>
      <c r="J119">
        <v>0</v>
      </c>
      <c r="K119">
        <v>0</v>
      </c>
      <c r="L119"/>
      <c r="M119"/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f t="shared" si="2"/>
        <v>1</v>
      </c>
      <c r="AK119">
        <v>1</v>
      </c>
      <c r="AL119" s="23">
        <v>3</v>
      </c>
    </row>
    <row r="120" spans="1:41">
      <c r="A120" s="15">
        <v>37055</v>
      </c>
      <c r="B120" t="s">
        <v>62</v>
      </c>
      <c r="D120" t="s">
        <v>56</v>
      </c>
      <c r="E120" t="s">
        <v>130</v>
      </c>
      <c r="F120">
        <v>2001</v>
      </c>
      <c r="G120" t="s">
        <v>15</v>
      </c>
      <c r="H120">
        <v>0</v>
      </c>
      <c r="I120">
        <v>0</v>
      </c>
      <c r="J120">
        <v>0</v>
      </c>
      <c r="K120">
        <v>0</v>
      </c>
      <c r="L120"/>
      <c r="M120"/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f t="shared" si="2"/>
        <v>0</v>
      </c>
    </row>
    <row r="121" spans="1:41">
      <c r="A121" s="15">
        <v>37055</v>
      </c>
      <c r="B121" t="s">
        <v>59</v>
      </c>
      <c r="D121" t="s">
        <v>138</v>
      </c>
      <c r="E121" t="s">
        <v>115</v>
      </c>
      <c r="F121">
        <v>2001</v>
      </c>
      <c r="G121" t="s">
        <v>15</v>
      </c>
      <c r="H121">
        <v>92</v>
      </c>
      <c r="I121">
        <v>0</v>
      </c>
      <c r="J121">
        <v>0</v>
      </c>
      <c r="K121">
        <v>0</v>
      </c>
      <c r="L121"/>
      <c r="M121"/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f t="shared" si="2"/>
        <v>92</v>
      </c>
      <c r="AK121">
        <v>1</v>
      </c>
      <c r="AL121" s="23">
        <f>160/92</f>
        <v>1.7391304347826086</v>
      </c>
      <c r="AO121" t="s">
        <v>65</v>
      </c>
    </row>
    <row r="122" spans="1:41">
      <c r="A122" s="15">
        <v>37055</v>
      </c>
      <c r="B122" t="s">
        <v>59</v>
      </c>
      <c r="D122" t="s">
        <v>138</v>
      </c>
      <c r="E122" t="s">
        <v>115</v>
      </c>
      <c r="F122">
        <v>2001</v>
      </c>
      <c r="G122" t="s">
        <v>15</v>
      </c>
      <c r="H122">
        <v>3</v>
      </c>
      <c r="I122">
        <v>0</v>
      </c>
      <c r="J122">
        <v>0</v>
      </c>
      <c r="K122">
        <v>0</v>
      </c>
      <c r="L122"/>
      <c r="M122"/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f t="shared" si="2"/>
        <v>3</v>
      </c>
      <c r="AK122">
        <v>1</v>
      </c>
      <c r="AL122" s="23">
        <f>8.3/3</f>
        <v>2.7666666666666671</v>
      </c>
    </row>
    <row r="123" spans="1:41">
      <c r="A123" s="15">
        <v>37056</v>
      </c>
      <c r="B123" t="s">
        <v>60</v>
      </c>
      <c r="D123" t="s">
        <v>55</v>
      </c>
      <c r="E123" t="s">
        <v>131</v>
      </c>
      <c r="F123">
        <v>2001</v>
      </c>
      <c r="G123" t="s">
        <v>15</v>
      </c>
      <c r="H123">
        <v>123</v>
      </c>
      <c r="I123">
        <v>0</v>
      </c>
      <c r="J123">
        <v>0</v>
      </c>
      <c r="K123">
        <v>0</v>
      </c>
      <c r="L123"/>
      <c r="M123"/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4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f t="shared" si="2"/>
        <v>127</v>
      </c>
      <c r="AK123">
        <v>2</v>
      </c>
      <c r="AL123" s="23">
        <f>725/123</f>
        <v>5.8943089430894311</v>
      </c>
    </row>
    <row r="124" spans="1:41">
      <c r="A124" s="15">
        <v>37056</v>
      </c>
      <c r="B124" t="s">
        <v>61</v>
      </c>
      <c r="D124" t="s">
        <v>55</v>
      </c>
      <c r="E124" t="s">
        <v>131</v>
      </c>
      <c r="F124">
        <v>2001</v>
      </c>
      <c r="G124" t="s">
        <v>15</v>
      </c>
      <c r="H124">
        <v>59</v>
      </c>
      <c r="I124">
        <v>0</v>
      </c>
      <c r="J124">
        <v>0</v>
      </c>
      <c r="K124">
        <v>0</v>
      </c>
      <c r="L124"/>
      <c r="M124"/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f t="shared" si="2"/>
        <v>60</v>
      </c>
      <c r="AK124">
        <v>2</v>
      </c>
      <c r="AL124" s="23">
        <f>185/59</f>
        <v>3.1355932203389831</v>
      </c>
    </row>
    <row r="125" spans="1:41">
      <c r="A125" s="15">
        <v>37056</v>
      </c>
      <c r="B125" t="s">
        <v>63</v>
      </c>
      <c r="D125" t="s">
        <v>55</v>
      </c>
      <c r="E125" t="s">
        <v>131</v>
      </c>
      <c r="F125">
        <v>2001</v>
      </c>
      <c r="G125" t="s">
        <v>15</v>
      </c>
      <c r="H125">
        <v>1</v>
      </c>
      <c r="I125">
        <v>0</v>
      </c>
      <c r="J125">
        <v>0</v>
      </c>
      <c r="K125">
        <v>0</v>
      </c>
      <c r="L125"/>
      <c r="M125"/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3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f t="shared" si="2"/>
        <v>4</v>
      </c>
      <c r="AK125">
        <v>2</v>
      </c>
      <c r="AL125" s="23">
        <v>3</v>
      </c>
    </row>
    <row r="126" spans="1:41">
      <c r="A126" s="15">
        <v>37056</v>
      </c>
      <c r="B126" t="s">
        <v>62</v>
      </c>
      <c r="D126" t="s">
        <v>56</v>
      </c>
      <c r="E126" t="s">
        <v>130</v>
      </c>
      <c r="F126">
        <v>2001</v>
      </c>
      <c r="G126" t="s">
        <v>15</v>
      </c>
      <c r="H126">
        <v>0</v>
      </c>
      <c r="I126">
        <v>0</v>
      </c>
      <c r="J126">
        <v>0</v>
      </c>
      <c r="K126">
        <v>0</v>
      </c>
      <c r="L126"/>
      <c r="M126"/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f t="shared" si="2"/>
        <v>0</v>
      </c>
      <c r="AK126">
        <v>0</v>
      </c>
    </row>
    <row r="127" spans="1:41">
      <c r="A127" s="15">
        <v>37056</v>
      </c>
      <c r="B127" t="s">
        <v>59</v>
      </c>
      <c r="D127" t="s">
        <v>138</v>
      </c>
      <c r="E127" t="s">
        <v>115</v>
      </c>
      <c r="F127">
        <v>2001</v>
      </c>
      <c r="G127" t="s">
        <v>15</v>
      </c>
      <c r="H127">
        <v>32</v>
      </c>
      <c r="I127">
        <v>0</v>
      </c>
      <c r="J127">
        <v>0</v>
      </c>
      <c r="K127">
        <v>0</v>
      </c>
      <c r="L127"/>
      <c r="M127"/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2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f t="shared" si="2"/>
        <v>34</v>
      </c>
      <c r="AK127">
        <v>2</v>
      </c>
      <c r="AL127" s="23">
        <f>87/32</f>
        <v>2.71875</v>
      </c>
    </row>
    <row r="128" spans="1:41">
      <c r="A128" s="15">
        <v>37056</v>
      </c>
      <c r="B128" t="s">
        <v>59</v>
      </c>
      <c r="D128" t="s">
        <v>138</v>
      </c>
      <c r="E128" t="s">
        <v>115</v>
      </c>
      <c r="F128">
        <v>2001</v>
      </c>
      <c r="G128" t="s">
        <v>15</v>
      </c>
      <c r="H128">
        <v>42</v>
      </c>
      <c r="I128">
        <v>0</v>
      </c>
      <c r="J128">
        <v>0</v>
      </c>
      <c r="K128">
        <v>0</v>
      </c>
      <c r="L128"/>
      <c r="M128"/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2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f t="shared" si="2"/>
        <v>44</v>
      </c>
      <c r="AK128">
        <v>2</v>
      </c>
      <c r="AL128" s="23">
        <f>130/42</f>
        <v>3.0952380952380953</v>
      </c>
      <c r="AO128" t="s">
        <v>0</v>
      </c>
    </row>
    <row r="129" spans="1:40">
      <c r="A129" s="15">
        <v>37161</v>
      </c>
      <c r="B129" t="s">
        <v>62</v>
      </c>
      <c r="C129">
        <v>22.17</v>
      </c>
      <c r="D129" t="s">
        <v>56</v>
      </c>
      <c r="E129" t="s">
        <v>130</v>
      </c>
      <c r="F129">
        <v>2001</v>
      </c>
      <c r="G129" t="s">
        <v>16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f t="shared" si="2"/>
        <v>0</v>
      </c>
      <c r="AK129">
        <v>0</v>
      </c>
    </row>
    <row r="130" spans="1:40">
      <c r="A130" s="15">
        <v>37161</v>
      </c>
      <c r="B130" t="s">
        <v>60</v>
      </c>
      <c r="C130">
        <v>22.17</v>
      </c>
      <c r="D130" t="s">
        <v>55</v>
      </c>
      <c r="E130" t="s">
        <v>131</v>
      </c>
      <c r="F130">
        <v>2001</v>
      </c>
      <c r="G130" t="s">
        <v>16</v>
      </c>
      <c r="H130">
        <v>225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6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f t="shared" si="2"/>
        <v>231</v>
      </c>
      <c r="AK130">
        <v>2</v>
      </c>
      <c r="AL130" s="23">
        <f>(470/225)</f>
        <v>2.088888888888889</v>
      </c>
      <c r="AN130">
        <f>20/6</f>
        <v>3.3333333333333335</v>
      </c>
    </row>
    <row r="131" spans="1:40">
      <c r="A131" s="15">
        <v>37161</v>
      </c>
      <c r="B131" t="s">
        <v>58</v>
      </c>
      <c r="C131">
        <v>18.5</v>
      </c>
      <c r="D131" t="s">
        <v>138</v>
      </c>
      <c r="E131" t="s">
        <v>115</v>
      </c>
      <c r="F131">
        <v>2001</v>
      </c>
      <c r="G131" t="s">
        <v>16</v>
      </c>
      <c r="H131">
        <v>7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1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f t="shared" si="2"/>
        <v>8</v>
      </c>
      <c r="AK131">
        <v>2</v>
      </c>
      <c r="AL131" s="23">
        <f>10/7</f>
        <v>1.4285714285714286</v>
      </c>
      <c r="AN131">
        <v>6</v>
      </c>
    </row>
    <row r="132" spans="1:40">
      <c r="A132" s="15">
        <v>37161</v>
      </c>
      <c r="B132" t="s">
        <v>59</v>
      </c>
      <c r="C132">
        <v>18.5</v>
      </c>
      <c r="D132" t="s">
        <v>138</v>
      </c>
      <c r="E132" t="s">
        <v>115</v>
      </c>
      <c r="F132">
        <v>2001</v>
      </c>
      <c r="G132" t="s">
        <v>16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2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f t="shared" si="2"/>
        <v>2</v>
      </c>
      <c r="AK132">
        <v>1</v>
      </c>
      <c r="AN132">
        <f>7/5</f>
        <v>1.4</v>
      </c>
    </row>
    <row r="133" spans="1:40">
      <c r="A133" s="15">
        <v>37162</v>
      </c>
      <c r="B133" t="s">
        <v>63</v>
      </c>
      <c r="C133">
        <v>24</v>
      </c>
      <c r="D133" t="s">
        <v>55</v>
      </c>
      <c r="E133" t="s">
        <v>131</v>
      </c>
      <c r="F133">
        <v>2001</v>
      </c>
      <c r="G133" t="s">
        <v>16</v>
      </c>
      <c r="H133">
        <v>10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1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f t="shared" si="2"/>
        <v>11</v>
      </c>
      <c r="AK133">
        <v>2</v>
      </c>
      <c r="AL133" s="23">
        <f>20/10</f>
        <v>2</v>
      </c>
      <c r="AN133">
        <v>2</v>
      </c>
    </row>
    <row r="134" spans="1:40">
      <c r="A134" s="15">
        <v>37162</v>
      </c>
      <c r="B134" t="s">
        <v>62</v>
      </c>
      <c r="C134">
        <v>24</v>
      </c>
      <c r="D134" t="s">
        <v>56</v>
      </c>
      <c r="E134" t="s">
        <v>130</v>
      </c>
      <c r="F134">
        <v>2001</v>
      </c>
      <c r="G134" t="s">
        <v>16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f t="shared" si="2"/>
        <v>0</v>
      </c>
      <c r="AK134">
        <v>0</v>
      </c>
    </row>
    <row r="135" spans="1:40">
      <c r="A135" s="15">
        <v>37162</v>
      </c>
      <c r="B135" t="s">
        <v>58</v>
      </c>
      <c r="C135">
        <v>24.33</v>
      </c>
      <c r="D135" t="s">
        <v>138</v>
      </c>
      <c r="E135" t="s">
        <v>115</v>
      </c>
      <c r="F135">
        <v>2001</v>
      </c>
      <c r="G135" t="s">
        <v>16</v>
      </c>
      <c r="H135">
        <v>3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f t="shared" si="2"/>
        <v>3</v>
      </c>
      <c r="AK135">
        <v>1</v>
      </c>
      <c r="AL135" s="23">
        <f>4/3</f>
        <v>1.3333333333333333</v>
      </c>
    </row>
    <row r="136" spans="1:40">
      <c r="A136" s="15">
        <v>37162</v>
      </c>
      <c r="B136" t="s">
        <v>59</v>
      </c>
      <c r="C136">
        <v>24.5</v>
      </c>
      <c r="D136" t="s">
        <v>138</v>
      </c>
      <c r="E136" t="s">
        <v>115</v>
      </c>
      <c r="F136">
        <v>2001</v>
      </c>
      <c r="G136" t="s">
        <v>16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2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f t="shared" si="2"/>
        <v>2</v>
      </c>
      <c r="AK136">
        <v>1</v>
      </c>
      <c r="AN136">
        <f>7/2</f>
        <v>3.5</v>
      </c>
    </row>
    <row r="137" spans="1:40">
      <c r="A137" s="15">
        <v>37167</v>
      </c>
      <c r="B137" t="s">
        <v>60</v>
      </c>
      <c r="C137">
        <v>17.170000000000002</v>
      </c>
      <c r="D137" t="s">
        <v>55</v>
      </c>
      <c r="E137" t="s">
        <v>131</v>
      </c>
      <c r="F137">
        <v>2001</v>
      </c>
      <c r="G137" t="s">
        <v>16</v>
      </c>
      <c r="H137">
        <v>12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1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f t="shared" si="2"/>
        <v>13</v>
      </c>
      <c r="AK137">
        <v>2</v>
      </c>
      <c r="AL137" s="23">
        <f>20/12</f>
        <v>1.6666666666666667</v>
      </c>
      <c r="AN137">
        <v>2.5</v>
      </c>
    </row>
    <row r="138" spans="1:40">
      <c r="A138" s="15">
        <v>37167</v>
      </c>
      <c r="B138" t="s">
        <v>61</v>
      </c>
      <c r="C138">
        <v>17.170000000000002</v>
      </c>
      <c r="D138" t="s">
        <v>55</v>
      </c>
      <c r="E138" t="s">
        <v>131</v>
      </c>
      <c r="F138">
        <v>2001</v>
      </c>
      <c r="G138" t="s">
        <v>16</v>
      </c>
      <c r="H138">
        <v>45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12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f t="shared" si="2"/>
        <v>57</v>
      </c>
      <c r="AK138">
        <v>2</v>
      </c>
      <c r="AL138" s="23">
        <f>76/45</f>
        <v>1.6888888888888889</v>
      </c>
    </row>
    <row r="139" spans="1:40">
      <c r="A139" s="15">
        <v>37167</v>
      </c>
      <c r="B139" t="s">
        <v>63</v>
      </c>
      <c r="C139">
        <v>17.170000000000002</v>
      </c>
      <c r="D139" t="s">
        <v>55</v>
      </c>
      <c r="E139" t="s">
        <v>131</v>
      </c>
      <c r="F139">
        <v>2001</v>
      </c>
      <c r="G139" t="s">
        <v>16</v>
      </c>
      <c r="H139">
        <v>58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1</v>
      </c>
      <c r="U139">
        <v>0</v>
      </c>
      <c r="V139">
        <v>0</v>
      </c>
      <c r="W139">
        <v>0</v>
      </c>
      <c r="X139">
        <v>0</v>
      </c>
      <c r="Y139">
        <v>2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1</v>
      </c>
      <c r="AG139">
        <v>0</v>
      </c>
      <c r="AH139">
        <v>0</v>
      </c>
      <c r="AI139">
        <v>0</v>
      </c>
      <c r="AJ139">
        <f t="shared" si="2"/>
        <v>62</v>
      </c>
      <c r="AK139">
        <v>4</v>
      </c>
      <c r="AL139" s="23">
        <f>65/58</f>
        <v>1.1206896551724137</v>
      </c>
    </row>
    <row r="140" spans="1:40">
      <c r="A140" s="15">
        <v>37167</v>
      </c>
      <c r="B140" t="s">
        <v>62</v>
      </c>
      <c r="C140">
        <v>17.170000000000002</v>
      </c>
      <c r="D140" t="s">
        <v>56</v>
      </c>
      <c r="E140" t="s">
        <v>130</v>
      </c>
      <c r="F140">
        <v>2001</v>
      </c>
      <c r="G140" t="s">
        <v>16</v>
      </c>
      <c r="H140">
        <v>2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4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f t="shared" ref="AJ140:AJ170" si="3">SUM(H140:AI140)</f>
        <v>6</v>
      </c>
      <c r="AK140">
        <v>2</v>
      </c>
      <c r="AL140" s="23">
        <v>1</v>
      </c>
      <c r="AN140">
        <v>3.5</v>
      </c>
    </row>
    <row r="141" spans="1:40">
      <c r="A141" s="15">
        <v>37167</v>
      </c>
      <c r="B141" t="s">
        <v>58</v>
      </c>
      <c r="C141">
        <v>17.5</v>
      </c>
      <c r="D141" t="s">
        <v>138</v>
      </c>
      <c r="E141" t="s">
        <v>115</v>
      </c>
      <c r="F141">
        <v>2001</v>
      </c>
      <c r="G141" t="s">
        <v>16</v>
      </c>
      <c r="H141">
        <v>617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1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f t="shared" si="3"/>
        <v>618</v>
      </c>
      <c r="AK141">
        <v>2</v>
      </c>
      <c r="AL141" s="23">
        <f>1245/617</f>
        <v>2.0178282009724473</v>
      </c>
    </row>
    <row r="142" spans="1:40">
      <c r="A142" s="15">
        <v>37167</v>
      </c>
      <c r="B142" t="s">
        <v>59</v>
      </c>
      <c r="C142">
        <v>17.5</v>
      </c>
      <c r="D142" t="s">
        <v>138</v>
      </c>
      <c r="E142" t="s">
        <v>115</v>
      </c>
      <c r="F142">
        <v>2001</v>
      </c>
      <c r="G142" t="s">
        <v>16</v>
      </c>
      <c r="H142">
        <v>309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1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f t="shared" si="3"/>
        <v>310</v>
      </c>
      <c r="AK142">
        <v>2</v>
      </c>
      <c r="AL142" s="23">
        <f>493/309</f>
        <v>1.5954692556634305</v>
      </c>
      <c r="AN142">
        <v>5</v>
      </c>
    </row>
    <row r="143" spans="1:40">
      <c r="A143" s="15">
        <v>37166</v>
      </c>
      <c r="B143" t="s">
        <v>60</v>
      </c>
      <c r="C143">
        <v>17</v>
      </c>
      <c r="D143" t="s">
        <v>55</v>
      </c>
      <c r="E143" t="s">
        <v>131</v>
      </c>
      <c r="F143">
        <v>2001</v>
      </c>
      <c r="G143" t="s">
        <v>16</v>
      </c>
      <c r="H143">
        <v>20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f t="shared" si="3"/>
        <v>20</v>
      </c>
      <c r="AK143">
        <v>1</v>
      </c>
      <c r="AL143" s="23">
        <f>35/20</f>
        <v>1.75</v>
      </c>
    </row>
    <row r="144" spans="1:40">
      <c r="A144" s="15">
        <v>37166</v>
      </c>
      <c r="B144" t="s">
        <v>61</v>
      </c>
      <c r="C144">
        <v>17</v>
      </c>
      <c r="D144" t="s">
        <v>55</v>
      </c>
      <c r="E144" t="s">
        <v>131</v>
      </c>
      <c r="F144">
        <v>2001</v>
      </c>
      <c r="G144" t="s">
        <v>16</v>
      </c>
      <c r="H144">
        <v>41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1</v>
      </c>
      <c r="S144">
        <v>0</v>
      </c>
      <c r="T144">
        <v>0</v>
      </c>
      <c r="U144">
        <v>0</v>
      </c>
      <c r="V144">
        <v>1</v>
      </c>
      <c r="W144">
        <v>0</v>
      </c>
      <c r="X144">
        <v>0</v>
      </c>
      <c r="Y144">
        <v>1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f t="shared" si="3"/>
        <v>44</v>
      </c>
      <c r="AK144">
        <v>4</v>
      </c>
      <c r="AL144" s="23">
        <f>101/41</f>
        <v>2.4634146341463414</v>
      </c>
    </row>
    <row r="145" spans="1:41">
      <c r="A145" s="15">
        <v>37166</v>
      </c>
      <c r="B145" t="s">
        <v>63</v>
      </c>
      <c r="C145">
        <v>17</v>
      </c>
      <c r="D145" t="s">
        <v>55</v>
      </c>
      <c r="E145" t="s">
        <v>131</v>
      </c>
      <c r="F145">
        <v>2001</v>
      </c>
      <c r="G145" t="s">
        <v>16</v>
      </c>
      <c r="H145">
        <v>15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1</v>
      </c>
      <c r="S145">
        <v>1</v>
      </c>
      <c r="T145">
        <v>0</v>
      </c>
      <c r="U145">
        <v>0</v>
      </c>
      <c r="V145">
        <v>1</v>
      </c>
      <c r="W145">
        <v>0</v>
      </c>
      <c r="X145">
        <v>0</v>
      </c>
      <c r="Y145">
        <v>2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f t="shared" si="3"/>
        <v>20</v>
      </c>
      <c r="AK145">
        <v>5</v>
      </c>
      <c r="AL145" s="23">
        <f>25/15</f>
        <v>1.6666666666666667</v>
      </c>
    </row>
    <row r="146" spans="1:41">
      <c r="A146" s="15">
        <v>37166</v>
      </c>
      <c r="B146" t="s">
        <v>62</v>
      </c>
      <c r="C146">
        <v>17</v>
      </c>
      <c r="D146" t="s">
        <v>56</v>
      </c>
      <c r="E146" t="s">
        <v>130</v>
      </c>
      <c r="F146">
        <v>2001</v>
      </c>
      <c r="G146" t="s">
        <v>16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2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f t="shared" si="3"/>
        <v>2</v>
      </c>
      <c r="AK146">
        <v>1</v>
      </c>
      <c r="AN146">
        <f>10/5</f>
        <v>2</v>
      </c>
    </row>
    <row r="147" spans="1:41">
      <c r="A147" s="15">
        <v>37166</v>
      </c>
      <c r="B147" t="s">
        <v>58</v>
      </c>
      <c r="C147">
        <v>17</v>
      </c>
      <c r="D147" t="s">
        <v>138</v>
      </c>
      <c r="E147" t="s">
        <v>115</v>
      </c>
      <c r="F147">
        <v>2001</v>
      </c>
      <c r="G147" t="s">
        <v>16</v>
      </c>
      <c r="H147">
        <v>906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1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f t="shared" si="3"/>
        <v>907</v>
      </c>
      <c r="AK147">
        <v>2</v>
      </c>
      <c r="AL147" s="23">
        <f>7/1</f>
        <v>7</v>
      </c>
    </row>
    <row r="148" spans="1:41">
      <c r="A148" s="15">
        <v>37166</v>
      </c>
      <c r="B148" t="s">
        <v>59</v>
      </c>
      <c r="C148">
        <v>17</v>
      </c>
      <c r="D148" t="s">
        <v>138</v>
      </c>
      <c r="E148" t="s">
        <v>115</v>
      </c>
      <c r="F148">
        <v>2001</v>
      </c>
      <c r="G148" t="s">
        <v>16</v>
      </c>
      <c r="H148">
        <v>611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1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f t="shared" si="3"/>
        <v>612</v>
      </c>
      <c r="AK148">
        <v>2</v>
      </c>
      <c r="AL148" s="23">
        <f>570/611</f>
        <v>0.93289689034369883</v>
      </c>
    </row>
    <row r="149" spans="1:41">
      <c r="A149" s="15">
        <v>37350</v>
      </c>
      <c r="B149" t="s">
        <v>3</v>
      </c>
      <c r="C149">
        <v>1.5</v>
      </c>
      <c r="D149" t="s">
        <v>138</v>
      </c>
      <c r="E149" t="s">
        <v>115</v>
      </c>
      <c r="F149">
        <v>2002</v>
      </c>
      <c r="G149" t="s">
        <v>15</v>
      </c>
      <c r="H149">
        <v>9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f t="shared" si="3"/>
        <v>9</v>
      </c>
      <c r="AK149">
        <v>1</v>
      </c>
      <c r="AL149" s="23">
        <f>(15/9)</f>
        <v>1.6666666666666667</v>
      </c>
    </row>
    <row r="150" spans="1:41">
      <c r="A150" s="15">
        <v>37350</v>
      </c>
      <c r="B150" t="s">
        <v>62</v>
      </c>
      <c r="C150">
        <v>4</v>
      </c>
      <c r="D150" t="s">
        <v>56</v>
      </c>
      <c r="E150" t="s">
        <v>130</v>
      </c>
      <c r="F150">
        <v>2002</v>
      </c>
      <c r="G150" t="s">
        <v>15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f t="shared" si="3"/>
        <v>0</v>
      </c>
      <c r="AK150">
        <v>0</v>
      </c>
      <c r="AO150" t="s">
        <v>4</v>
      </c>
    </row>
    <row r="151" spans="1:41">
      <c r="A151" s="15">
        <v>37350</v>
      </c>
      <c r="B151" t="s">
        <v>59</v>
      </c>
      <c r="C151">
        <v>1.5</v>
      </c>
      <c r="D151" t="s">
        <v>138</v>
      </c>
      <c r="E151" t="s">
        <v>115</v>
      </c>
      <c r="F151">
        <v>2002</v>
      </c>
      <c r="G151" t="s">
        <v>15</v>
      </c>
      <c r="H151">
        <v>55</v>
      </c>
      <c r="I151">
        <v>0</v>
      </c>
      <c r="J151">
        <v>44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f t="shared" si="3"/>
        <v>99</v>
      </c>
      <c r="AK151">
        <v>2</v>
      </c>
      <c r="AL151" s="23">
        <f>(215/55)</f>
        <v>3.9090909090909092</v>
      </c>
    </row>
    <row r="152" spans="1:41">
      <c r="A152" s="15">
        <v>37350</v>
      </c>
      <c r="B152" t="s">
        <v>59</v>
      </c>
      <c r="C152">
        <v>1.5</v>
      </c>
      <c r="D152" t="s">
        <v>138</v>
      </c>
      <c r="E152" t="s">
        <v>115</v>
      </c>
      <c r="F152">
        <v>2002</v>
      </c>
      <c r="G152" t="s">
        <v>15</v>
      </c>
      <c r="H152">
        <v>64</v>
      </c>
      <c r="I152">
        <v>0</v>
      </c>
      <c r="J152">
        <v>1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f t="shared" si="3"/>
        <v>65</v>
      </c>
      <c r="AK152">
        <v>2</v>
      </c>
      <c r="AL152" s="23">
        <f>(185/64)</f>
        <v>2.890625</v>
      </c>
    </row>
    <row r="153" spans="1:41">
      <c r="A153" s="15">
        <v>37350</v>
      </c>
      <c r="B153" t="s">
        <v>58</v>
      </c>
      <c r="C153">
        <v>1.5</v>
      </c>
      <c r="D153" t="s">
        <v>138</v>
      </c>
      <c r="E153" t="s">
        <v>115</v>
      </c>
      <c r="F153">
        <v>2002</v>
      </c>
      <c r="G153" t="s">
        <v>15</v>
      </c>
      <c r="H153">
        <v>122</v>
      </c>
      <c r="I153">
        <v>0</v>
      </c>
      <c r="J153">
        <v>29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f t="shared" si="3"/>
        <v>151</v>
      </c>
      <c r="AK153">
        <v>2</v>
      </c>
      <c r="AL153" s="23">
        <f>(400/122)</f>
        <v>3.278688524590164</v>
      </c>
    </row>
    <row r="154" spans="1:41">
      <c r="A154" s="15">
        <v>37508</v>
      </c>
      <c r="B154" t="s">
        <v>63</v>
      </c>
      <c r="C154">
        <v>15.5</v>
      </c>
      <c r="D154" t="s">
        <v>55</v>
      </c>
      <c r="E154" t="s">
        <v>131</v>
      </c>
      <c r="F154">
        <v>2002</v>
      </c>
      <c r="G154" t="s">
        <v>16</v>
      </c>
      <c r="H154">
        <v>1</v>
      </c>
      <c r="I154">
        <v>0</v>
      </c>
      <c r="J154">
        <v>0</v>
      </c>
      <c r="K154">
        <v>0</v>
      </c>
      <c r="L154"/>
      <c r="M154"/>
      <c r="Q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1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f t="shared" si="3"/>
        <v>2</v>
      </c>
      <c r="AK154">
        <v>2</v>
      </c>
      <c r="AL154" s="23">
        <v>1</v>
      </c>
      <c r="AN154">
        <v>1</v>
      </c>
      <c r="AO154" t="s">
        <v>68</v>
      </c>
    </row>
    <row r="155" spans="1:41">
      <c r="A155" s="15">
        <v>37508</v>
      </c>
      <c r="B155" t="s">
        <v>62</v>
      </c>
      <c r="C155">
        <v>15.5</v>
      </c>
      <c r="D155" t="s">
        <v>56</v>
      </c>
      <c r="E155" t="s">
        <v>130</v>
      </c>
      <c r="F155">
        <v>2002</v>
      </c>
      <c r="G155" t="s">
        <v>16</v>
      </c>
      <c r="H155">
        <v>3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2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f t="shared" si="3"/>
        <v>5</v>
      </c>
      <c r="AK155">
        <v>2</v>
      </c>
      <c r="AL155" s="23">
        <v>3.3</v>
      </c>
      <c r="AN155">
        <v>5</v>
      </c>
      <c r="AO155" t="s">
        <v>69</v>
      </c>
    </row>
    <row r="156" spans="1:41">
      <c r="A156" s="15">
        <v>37508</v>
      </c>
      <c r="B156" t="s">
        <v>58</v>
      </c>
      <c r="C156">
        <v>15.5</v>
      </c>
      <c r="D156" t="s">
        <v>138</v>
      </c>
      <c r="E156" t="s">
        <v>115</v>
      </c>
      <c r="F156">
        <v>2002</v>
      </c>
      <c r="G156" t="s">
        <v>16</v>
      </c>
      <c r="H156">
        <v>324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2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f t="shared" si="3"/>
        <v>326</v>
      </c>
      <c r="AK156">
        <v>2</v>
      </c>
      <c r="AL156" s="23">
        <v>3.04</v>
      </c>
      <c r="AN156">
        <v>2.5</v>
      </c>
    </row>
    <row r="157" spans="1:41">
      <c r="A157" s="15">
        <v>37508</v>
      </c>
      <c r="B157" t="s">
        <v>59</v>
      </c>
      <c r="C157">
        <v>15.5</v>
      </c>
      <c r="D157" t="s">
        <v>138</v>
      </c>
      <c r="E157" t="s">
        <v>115</v>
      </c>
      <c r="F157">
        <v>2002</v>
      </c>
      <c r="G157" t="s">
        <v>16</v>
      </c>
      <c r="H157">
        <v>441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5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f t="shared" si="3"/>
        <v>446</v>
      </c>
      <c r="AK157">
        <v>2</v>
      </c>
      <c r="AL157" s="23">
        <v>2.58</v>
      </c>
      <c r="AN157">
        <v>2.6</v>
      </c>
    </row>
    <row r="158" spans="1:41">
      <c r="A158" s="15">
        <v>37509</v>
      </c>
      <c r="B158" t="s">
        <v>62</v>
      </c>
      <c r="C158">
        <v>23.75</v>
      </c>
      <c r="D158" t="s">
        <v>56</v>
      </c>
      <c r="E158" t="s">
        <v>130</v>
      </c>
      <c r="F158">
        <v>2002</v>
      </c>
      <c r="G158" t="s">
        <v>16</v>
      </c>
      <c r="H158">
        <v>3</v>
      </c>
      <c r="I158">
        <v>0</v>
      </c>
      <c r="J158">
        <v>0</v>
      </c>
      <c r="K158">
        <v>0</v>
      </c>
      <c r="L158"/>
      <c r="M158"/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2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f t="shared" si="3"/>
        <v>5</v>
      </c>
      <c r="AK158">
        <v>2</v>
      </c>
      <c r="AL158" s="23">
        <v>1.7</v>
      </c>
      <c r="AN158">
        <v>2</v>
      </c>
    </row>
    <row r="159" spans="1:41">
      <c r="A159" s="15">
        <v>37509</v>
      </c>
      <c r="B159" t="s">
        <v>63</v>
      </c>
      <c r="C159">
        <v>23.75</v>
      </c>
      <c r="D159" t="s">
        <v>55</v>
      </c>
      <c r="E159" t="s">
        <v>131</v>
      </c>
      <c r="F159">
        <v>2002</v>
      </c>
      <c r="G159" t="s">
        <v>16</v>
      </c>
      <c r="H159">
        <v>97</v>
      </c>
      <c r="I159">
        <v>0</v>
      </c>
      <c r="J159">
        <v>0</v>
      </c>
      <c r="K159">
        <v>0</v>
      </c>
      <c r="L159"/>
      <c r="M159"/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6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f t="shared" si="3"/>
        <v>103</v>
      </c>
      <c r="AK159">
        <v>2</v>
      </c>
      <c r="AL159" s="23">
        <v>1.9</v>
      </c>
      <c r="AN159">
        <v>2.5</v>
      </c>
    </row>
    <row r="160" spans="1:41">
      <c r="A160" s="15">
        <v>37509</v>
      </c>
      <c r="B160" t="s">
        <v>59</v>
      </c>
      <c r="C160">
        <v>23.75</v>
      </c>
      <c r="D160" t="s">
        <v>138</v>
      </c>
      <c r="E160" t="s">
        <v>115</v>
      </c>
      <c r="F160">
        <v>2002</v>
      </c>
      <c r="G160" t="s">
        <v>16</v>
      </c>
      <c r="H160">
        <v>320</v>
      </c>
      <c r="I160">
        <v>0</v>
      </c>
      <c r="J160">
        <v>0</v>
      </c>
      <c r="K160">
        <v>0</v>
      </c>
      <c r="L160"/>
      <c r="M160"/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3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f t="shared" si="3"/>
        <v>323</v>
      </c>
      <c r="AK160">
        <v>2</v>
      </c>
      <c r="AL160" s="23">
        <v>2.4</v>
      </c>
      <c r="AN160">
        <v>13.3</v>
      </c>
    </row>
    <row r="161" spans="1:41">
      <c r="A161" s="15">
        <v>37509</v>
      </c>
      <c r="B161" t="s">
        <v>58</v>
      </c>
      <c r="C161">
        <v>23.75</v>
      </c>
      <c r="D161" t="s">
        <v>138</v>
      </c>
      <c r="E161" t="s">
        <v>115</v>
      </c>
      <c r="F161">
        <v>2002</v>
      </c>
      <c r="G161" t="s">
        <v>16</v>
      </c>
      <c r="H161">
        <v>252</v>
      </c>
      <c r="I161">
        <v>0</v>
      </c>
      <c r="J161">
        <v>0</v>
      </c>
      <c r="K161">
        <v>0</v>
      </c>
      <c r="L161"/>
      <c r="M161"/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3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f t="shared" si="3"/>
        <v>255</v>
      </c>
      <c r="AK161">
        <v>2</v>
      </c>
      <c r="AL161" s="23">
        <v>3.65</v>
      </c>
      <c r="AN161">
        <v>2</v>
      </c>
    </row>
    <row r="162" spans="1:41">
      <c r="A162" s="15">
        <v>37510</v>
      </c>
      <c r="B162" t="s">
        <v>62</v>
      </c>
      <c r="C162">
        <v>24</v>
      </c>
      <c r="D162" t="s">
        <v>56</v>
      </c>
      <c r="E162" t="s">
        <v>130</v>
      </c>
      <c r="F162">
        <v>2002</v>
      </c>
      <c r="G162" t="s">
        <v>16</v>
      </c>
      <c r="H162">
        <v>11</v>
      </c>
      <c r="I162">
        <v>0</v>
      </c>
      <c r="J162">
        <v>0</v>
      </c>
      <c r="K162">
        <v>0</v>
      </c>
      <c r="L162"/>
      <c r="M162"/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2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1</v>
      </c>
      <c r="AJ162">
        <f t="shared" si="3"/>
        <v>14</v>
      </c>
      <c r="AK162">
        <v>3</v>
      </c>
      <c r="AL162" s="23">
        <v>0.9</v>
      </c>
      <c r="AN162">
        <v>1</v>
      </c>
    </row>
    <row r="163" spans="1:41">
      <c r="A163" s="15">
        <v>37510</v>
      </c>
      <c r="B163" t="s">
        <v>63</v>
      </c>
      <c r="C163">
        <v>24</v>
      </c>
      <c r="D163" t="s">
        <v>55</v>
      </c>
      <c r="E163" t="s">
        <v>131</v>
      </c>
      <c r="F163">
        <v>2002</v>
      </c>
      <c r="G163" t="s">
        <v>16</v>
      </c>
      <c r="H163">
        <v>77</v>
      </c>
      <c r="I163">
        <v>0</v>
      </c>
      <c r="J163">
        <v>0</v>
      </c>
      <c r="K163">
        <v>0</v>
      </c>
      <c r="L163"/>
      <c r="M163"/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12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f t="shared" si="3"/>
        <v>89</v>
      </c>
      <c r="AK163">
        <v>2</v>
      </c>
      <c r="AL163" s="23">
        <v>1.4</v>
      </c>
      <c r="AN163">
        <v>16.670000000000002</v>
      </c>
    </row>
    <row r="164" spans="1:41">
      <c r="A164" s="15">
        <v>37510</v>
      </c>
      <c r="B164" t="s">
        <v>59</v>
      </c>
      <c r="C164">
        <v>24</v>
      </c>
      <c r="D164" t="s">
        <v>138</v>
      </c>
      <c r="E164" t="s">
        <v>115</v>
      </c>
      <c r="F164">
        <v>2002</v>
      </c>
      <c r="G164" t="s">
        <v>16</v>
      </c>
      <c r="H164">
        <v>260</v>
      </c>
      <c r="I164">
        <v>0</v>
      </c>
      <c r="J164">
        <v>0</v>
      </c>
      <c r="K164">
        <v>0</v>
      </c>
      <c r="L164"/>
      <c r="M164"/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9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f t="shared" si="3"/>
        <v>269</v>
      </c>
      <c r="AK164">
        <v>2</v>
      </c>
      <c r="AL164" s="23">
        <v>2.4</v>
      </c>
    </row>
    <row r="165" spans="1:41">
      <c r="A165" s="15">
        <v>37510</v>
      </c>
      <c r="B165" t="s">
        <v>58</v>
      </c>
      <c r="C165">
        <v>24</v>
      </c>
      <c r="D165" t="s">
        <v>138</v>
      </c>
      <c r="E165" t="s">
        <v>115</v>
      </c>
      <c r="F165">
        <v>2002</v>
      </c>
      <c r="G165" t="s">
        <v>16</v>
      </c>
      <c r="H165">
        <v>160</v>
      </c>
      <c r="I165">
        <v>0</v>
      </c>
      <c r="J165">
        <v>0</v>
      </c>
      <c r="K165">
        <v>0</v>
      </c>
      <c r="L165"/>
      <c r="M165"/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6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f t="shared" si="3"/>
        <v>166</v>
      </c>
      <c r="AK165">
        <v>2</v>
      </c>
      <c r="AL165" s="23">
        <v>3.63</v>
      </c>
      <c r="AN165">
        <v>5</v>
      </c>
    </row>
    <row r="166" spans="1:41">
      <c r="A166" s="15">
        <v>37511</v>
      </c>
      <c r="B166" t="s">
        <v>58</v>
      </c>
      <c r="C166">
        <v>23.75</v>
      </c>
      <c r="D166" t="s">
        <v>138</v>
      </c>
      <c r="E166" t="s">
        <v>115</v>
      </c>
      <c r="F166">
        <v>2002</v>
      </c>
      <c r="G166" t="s">
        <v>16</v>
      </c>
      <c r="H166">
        <v>205</v>
      </c>
      <c r="I166">
        <v>0</v>
      </c>
      <c r="J166">
        <v>0</v>
      </c>
      <c r="K166">
        <v>0</v>
      </c>
      <c r="L166"/>
      <c r="M166"/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15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f t="shared" si="3"/>
        <v>220</v>
      </c>
      <c r="AK166">
        <v>2</v>
      </c>
      <c r="AL166" s="23">
        <v>3.94</v>
      </c>
      <c r="AN166">
        <v>4.3</v>
      </c>
    </row>
    <row r="167" spans="1:41">
      <c r="A167" s="15">
        <v>37511</v>
      </c>
      <c r="B167" t="s">
        <v>63</v>
      </c>
      <c r="C167">
        <v>23.75</v>
      </c>
      <c r="D167" t="s">
        <v>55</v>
      </c>
      <c r="E167" t="s">
        <v>131</v>
      </c>
      <c r="F167">
        <v>2002</v>
      </c>
      <c r="G167" t="s">
        <v>16</v>
      </c>
      <c r="H167">
        <v>122</v>
      </c>
      <c r="I167">
        <v>0</v>
      </c>
      <c r="J167">
        <v>0</v>
      </c>
      <c r="K167">
        <v>0</v>
      </c>
      <c r="L167"/>
      <c r="M167"/>
      <c r="Q167">
        <v>0</v>
      </c>
      <c r="R167">
        <v>0</v>
      </c>
      <c r="S167">
        <v>1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18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f t="shared" si="3"/>
        <v>141</v>
      </c>
      <c r="AK167">
        <v>3</v>
      </c>
      <c r="AL167" s="23">
        <v>2.17</v>
      </c>
      <c r="AM167">
        <v>15</v>
      </c>
      <c r="AN167">
        <v>4.4000000000000004</v>
      </c>
    </row>
    <row r="168" spans="1:41">
      <c r="A168" s="15">
        <v>37511</v>
      </c>
      <c r="B168" t="s">
        <v>62</v>
      </c>
      <c r="C168">
        <v>23.75</v>
      </c>
      <c r="D168" t="s">
        <v>56</v>
      </c>
      <c r="E168" t="s">
        <v>130</v>
      </c>
      <c r="F168">
        <v>2002</v>
      </c>
      <c r="G168" t="s">
        <v>16</v>
      </c>
      <c r="H168">
        <v>3</v>
      </c>
      <c r="I168">
        <v>0</v>
      </c>
      <c r="J168">
        <v>0</v>
      </c>
      <c r="K168">
        <v>0</v>
      </c>
      <c r="L168"/>
      <c r="M168"/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8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f t="shared" si="3"/>
        <v>11</v>
      </c>
      <c r="AK168">
        <v>2</v>
      </c>
      <c r="AL168" s="23">
        <v>1.6</v>
      </c>
      <c r="AN168">
        <v>4.4000000000000004</v>
      </c>
    </row>
    <row r="169" spans="1:41">
      <c r="A169" s="15">
        <v>37511</v>
      </c>
      <c r="B169" t="s">
        <v>59</v>
      </c>
      <c r="C169">
        <v>23.75</v>
      </c>
      <c r="D169" t="s">
        <v>138</v>
      </c>
      <c r="E169" t="s">
        <v>115</v>
      </c>
      <c r="F169">
        <v>2002</v>
      </c>
      <c r="G169" t="s">
        <v>16</v>
      </c>
      <c r="H169">
        <v>127</v>
      </c>
      <c r="I169">
        <v>0</v>
      </c>
      <c r="J169">
        <v>0</v>
      </c>
      <c r="K169">
        <v>0</v>
      </c>
      <c r="L169"/>
      <c r="M169"/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17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f t="shared" si="3"/>
        <v>144</v>
      </c>
      <c r="AK169">
        <v>2</v>
      </c>
      <c r="AL169" s="23">
        <v>3.46</v>
      </c>
      <c r="AN169">
        <v>3.53</v>
      </c>
    </row>
    <row r="170" spans="1:41">
      <c r="A170" s="15">
        <v>37523</v>
      </c>
      <c r="B170" t="s">
        <v>63</v>
      </c>
      <c r="C170">
        <v>15.5</v>
      </c>
      <c r="D170" t="s">
        <v>55</v>
      </c>
      <c r="E170" t="s">
        <v>131</v>
      </c>
      <c r="F170">
        <v>2002</v>
      </c>
      <c r="G170" t="s">
        <v>16</v>
      </c>
      <c r="H170">
        <v>17</v>
      </c>
      <c r="I170">
        <v>0</v>
      </c>
      <c r="J170">
        <v>0</v>
      </c>
      <c r="K170">
        <v>0</v>
      </c>
      <c r="L170"/>
      <c r="M170"/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5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f t="shared" si="3"/>
        <v>22</v>
      </c>
      <c r="AK170">
        <v>2</v>
      </c>
    </row>
    <row r="171" spans="1:41">
      <c r="A171" s="15">
        <v>37523</v>
      </c>
      <c r="B171" t="s">
        <v>62</v>
      </c>
      <c r="C171">
        <v>15.5</v>
      </c>
      <c r="D171" t="s">
        <v>56</v>
      </c>
      <c r="E171" t="s">
        <v>130</v>
      </c>
      <c r="F171">
        <v>2002</v>
      </c>
      <c r="G171" t="s">
        <v>16</v>
      </c>
      <c r="H171">
        <v>0</v>
      </c>
      <c r="I171">
        <v>0</v>
      </c>
      <c r="J171">
        <v>0</v>
      </c>
      <c r="K171">
        <v>0</v>
      </c>
      <c r="L171"/>
      <c r="M171"/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f t="shared" ref="AJ171:AJ213" si="4">SUM(H171:AI171)</f>
        <v>0</v>
      </c>
      <c r="AK171">
        <v>0</v>
      </c>
    </row>
    <row r="172" spans="1:41">
      <c r="A172" s="15">
        <v>37525</v>
      </c>
      <c r="B172" t="s">
        <v>63</v>
      </c>
      <c r="D172" t="s">
        <v>55</v>
      </c>
      <c r="E172" t="s">
        <v>131</v>
      </c>
      <c r="F172">
        <v>2002</v>
      </c>
      <c r="G172" t="s">
        <v>16</v>
      </c>
      <c r="H172">
        <v>17</v>
      </c>
      <c r="I172">
        <v>0</v>
      </c>
      <c r="J172">
        <v>0</v>
      </c>
      <c r="K172">
        <v>0</v>
      </c>
      <c r="L172"/>
      <c r="M172"/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5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f t="shared" si="4"/>
        <v>22</v>
      </c>
      <c r="AK172">
        <v>2</v>
      </c>
      <c r="AL172" s="23">
        <v>3.8</v>
      </c>
      <c r="AN172">
        <v>4</v>
      </c>
      <c r="AO172" t="s">
        <v>6</v>
      </c>
    </row>
    <row r="173" spans="1:41">
      <c r="A173" s="15">
        <v>37525</v>
      </c>
      <c r="B173" t="s">
        <v>58</v>
      </c>
      <c r="D173" t="s">
        <v>138</v>
      </c>
      <c r="E173" t="s">
        <v>115</v>
      </c>
      <c r="F173">
        <v>2002</v>
      </c>
      <c r="G173" t="s">
        <v>16</v>
      </c>
      <c r="H173">
        <v>252</v>
      </c>
      <c r="I173">
        <v>0</v>
      </c>
      <c r="J173">
        <v>0</v>
      </c>
      <c r="K173">
        <v>0</v>
      </c>
      <c r="L173"/>
      <c r="M173"/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1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f t="shared" si="4"/>
        <v>253</v>
      </c>
      <c r="AK173">
        <v>2</v>
      </c>
      <c r="AL173" s="23">
        <v>1.8</v>
      </c>
      <c r="AN173">
        <v>7</v>
      </c>
    </row>
    <row r="174" spans="1:41">
      <c r="A174" s="15">
        <v>37544</v>
      </c>
      <c r="B174" t="s">
        <v>59</v>
      </c>
      <c r="C174">
        <v>4.5</v>
      </c>
      <c r="D174" t="s">
        <v>138</v>
      </c>
      <c r="E174" t="s">
        <v>115</v>
      </c>
      <c r="F174">
        <v>2002</v>
      </c>
      <c r="G174" t="s">
        <v>16</v>
      </c>
      <c r="H174">
        <v>0</v>
      </c>
      <c r="I174">
        <v>0</v>
      </c>
      <c r="J174">
        <v>0</v>
      </c>
      <c r="K174">
        <v>0</v>
      </c>
      <c r="L174"/>
      <c r="M174"/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f t="shared" si="4"/>
        <v>0</v>
      </c>
      <c r="AK174">
        <v>0</v>
      </c>
      <c r="AO174" t="s">
        <v>7</v>
      </c>
    </row>
    <row r="175" spans="1:41">
      <c r="A175" s="15">
        <v>37544</v>
      </c>
      <c r="B175" t="s">
        <v>58</v>
      </c>
      <c r="C175">
        <v>4.5</v>
      </c>
      <c r="D175" t="s">
        <v>138</v>
      </c>
      <c r="E175" t="s">
        <v>115</v>
      </c>
      <c r="F175">
        <v>2002</v>
      </c>
      <c r="G175" t="s">
        <v>16</v>
      </c>
      <c r="H175">
        <v>0</v>
      </c>
      <c r="I175">
        <v>0</v>
      </c>
      <c r="J175">
        <v>0</v>
      </c>
      <c r="K175">
        <v>0</v>
      </c>
      <c r="L175"/>
      <c r="M175"/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f t="shared" si="4"/>
        <v>0</v>
      </c>
      <c r="AK175">
        <v>0</v>
      </c>
    </row>
    <row r="176" spans="1:41">
      <c r="A176" s="15">
        <v>37774</v>
      </c>
      <c r="B176" t="s">
        <v>59</v>
      </c>
      <c r="C176">
        <v>18.5</v>
      </c>
      <c r="D176" t="s">
        <v>138</v>
      </c>
      <c r="E176" t="s">
        <v>115</v>
      </c>
      <c r="F176">
        <v>2003</v>
      </c>
      <c r="G176" t="s">
        <v>15</v>
      </c>
      <c r="H176">
        <v>106</v>
      </c>
      <c r="I176">
        <v>0</v>
      </c>
      <c r="J176">
        <v>0</v>
      </c>
      <c r="K176">
        <v>0</v>
      </c>
      <c r="L176"/>
      <c r="M176"/>
      <c r="Q176">
        <v>0</v>
      </c>
      <c r="R176">
        <v>0</v>
      </c>
      <c r="S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f t="shared" si="4"/>
        <v>106</v>
      </c>
      <c r="AK176">
        <v>0</v>
      </c>
      <c r="AL176" s="23">
        <v>4</v>
      </c>
    </row>
    <row r="177" spans="1:38">
      <c r="A177" s="15">
        <v>37774</v>
      </c>
      <c r="B177" t="s">
        <v>58</v>
      </c>
      <c r="C177">
        <v>18.5</v>
      </c>
      <c r="D177" t="s">
        <v>138</v>
      </c>
      <c r="E177" t="s">
        <v>115</v>
      </c>
      <c r="F177">
        <v>2003</v>
      </c>
      <c r="G177" t="s">
        <v>15</v>
      </c>
      <c r="H177">
        <v>72</v>
      </c>
      <c r="I177">
        <v>0</v>
      </c>
      <c r="J177">
        <v>0</v>
      </c>
      <c r="K177">
        <v>0</v>
      </c>
      <c r="L177"/>
      <c r="M177"/>
      <c r="Q177">
        <v>0</v>
      </c>
      <c r="R177">
        <v>0</v>
      </c>
      <c r="S177">
        <v>0</v>
      </c>
      <c r="T177">
        <v>1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f t="shared" si="4"/>
        <v>73</v>
      </c>
      <c r="AK177">
        <v>2</v>
      </c>
      <c r="AL177" s="23">
        <v>4</v>
      </c>
    </row>
    <row r="178" spans="1:38">
      <c r="A178" s="15">
        <v>37775</v>
      </c>
      <c r="B178" t="s">
        <v>63</v>
      </c>
      <c r="C178">
        <v>24</v>
      </c>
      <c r="D178" t="s">
        <v>55</v>
      </c>
      <c r="E178" t="s">
        <v>131</v>
      </c>
      <c r="F178">
        <v>2003</v>
      </c>
      <c r="G178" t="s">
        <v>15</v>
      </c>
      <c r="H178">
        <v>0</v>
      </c>
      <c r="I178">
        <v>0</v>
      </c>
      <c r="J178">
        <v>0</v>
      </c>
      <c r="K178">
        <v>0</v>
      </c>
      <c r="L178"/>
      <c r="M178"/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f t="shared" si="4"/>
        <v>0</v>
      </c>
      <c r="AK178">
        <v>0</v>
      </c>
    </row>
    <row r="179" spans="1:38">
      <c r="A179" s="15">
        <v>37775</v>
      </c>
      <c r="B179" t="s">
        <v>62</v>
      </c>
      <c r="C179">
        <v>24</v>
      </c>
      <c r="D179" t="s">
        <v>56</v>
      </c>
      <c r="E179" t="s">
        <v>130</v>
      </c>
      <c r="F179">
        <v>2003</v>
      </c>
      <c r="G179" t="s">
        <v>15</v>
      </c>
      <c r="H179">
        <v>0</v>
      </c>
      <c r="I179">
        <v>0</v>
      </c>
      <c r="J179">
        <v>0</v>
      </c>
      <c r="K179">
        <v>0</v>
      </c>
      <c r="L179"/>
      <c r="M179"/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7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f t="shared" si="4"/>
        <v>7</v>
      </c>
      <c r="AK179">
        <v>1</v>
      </c>
    </row>
    <row r="180" spans="1:38">
      <c r="A180" s="15">
        <v>37775</v>
      </c>
      <c r="B180" t="s">
        <v>59</v>
      </c>
      <c r="C180">
        <v>24</v>
      </c>
      <c r="D180" t="s">
        <v>138</v>
      </c>
      <c r="E180" t="s">
        <v>115</v>
      </c>
      <c r="F180">
        <v>2003</v>
      </c>
      <c r="G180" t="s">
        <v>15</v>
      </c>
      <c r="H180">
        <v>111</v>
      </c>
      <c r="I180">
        <v>0</v>
      </c>
      <c r="J180">
        <v>0</v>
      </c>
      <c r="K180">
        <v>0</v>
      </c>
      <c r="L180"/>
      <c r="M180"/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f t="shared" si="4"/>
        <v>111</v>
      </c>
      <c r="AK180">
        <v>1</v>
      </c>
      <c r="AL180" s="23">
        <v>3.15</v>
      </c>
    </row>
    <row r="181" spans="1:38">
      <c r="A181" s="15">
        <v>37775</v>
      </c>
      <c r="B181" t="s">
        <v>58</v>
      </c>
      <c r="C181">
        <v>24</v>
      </c>
      <c r="D181" t="s">
        <v>138</v>
      </c>
      <c r="E181" t="s">
        <v>115</v>
      </c>
      <c r="F181">
        <v>2003</v>
      </c>
      <c r="G181" t="s">
        <v>15</v>
      </c>
      <c r="H181">
        <v>92</v>
      </c>
      <c r="I181">
        <v>0</v>
      </c>
      <c r="J181">
        <v>0</v>
      </c>
      <c r="K181">
        <v>0</v>
      </c>
      <c r="L181"/>
      <c r="M181"/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f t="shared" si="4"/>
        <v>92</v>
      </c>
      <c r="AK181">
        <v>1</v>
      </c>
      <c r="AL181" s="23">
        <v>3.09</v>
      </c>
    </row>
    <row r="182" spans="1:38">
      <c r="A182" s="15">
        <v>40334</v>
      </c>
      <c r="B182" t="s">
        <v>63</v>
      </c>
      <c r="C182">
        <v>16</v>
      </c>
      <c r="D182" t="s">
        <v>55</v>
      </c>
      <c r="E182" t="s">
        <v>131</v>
      </c>
      <c r="F182">
        <v>2003</v>
      </c>
      <c r="G182" t="s">
        <v>15</v>
      </c>
      <c r="H182">
        <v>0</v>
      </c>
      <c r="I182">
        <v>0</v>
      </c>
      <c r="J182">
        <v>0</v>
      </c>
      <c r="K182">
        <v>0</v>
      </c>
      <c r="L182"/>
      <c r="M182"/>
      <c r="Q182">
        <v>0</v>
      </c>
      <c r="R182">
        <v>0</v>
      </c>
      <c r="S182">
        <v>1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f t="shared" si="4"/>
        <v>1</v>
      </c>
      <c r="AK182">
        <v>1</v>
      </c>
    </row>
    <row r="183" spans="1:38">
      <c r="A183" s="15">
        <v>40334</v>
      </c>
      <c r="B183" t="s">
        <v>62</v>
      </c>
      <c r="C183">
        <v>16</v>
      </c>
      <c r="D183" t="s">
        <v>56</v>
      </c>
      <c r="E183" t="s">
        <v>130</v>
      </c>
      <c r="F183">
        <v>2003</v>
      </c>
      <c r="G183" t="s">
        <v>15</v>
      </c>
      <c r="H183">
        <v>0</v>
      </c>
      <c r="I183">
        <v>0</v>
      </c>
      <c r="J183">
        <v>0</v>
      </c>
      <c r="K183">
        <v>0</v>
      </c>
      <c r="L183"/>
      <c r="M183"/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2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f t="shared" si="4"/>
        <v>2</v>
      </c>
      <c r="AK183">
        <v>1</v>
      </c>
    </row>
    <row r="184" spans="1:38">
      <c r="A184" s="15">
        <v>40334</v>
      </c>
      <c r="B184" t="s">
        <v>59</v>
      </c>
      <c r="C184">
        <v>16</v>
      </c>
      <c r="D184" t="s">
        <v>138</v>
      </c>
      <c r="E184" t="s">
        <v>115</v>
      </c>
      <c r="F184">
        <v>2003</v>
      </c>
      <c r="G184" t="s">
        <v>15</v>
      </c>
      <c r="H184">
        <v>90</v>
      </c>
      <c r="I184">
        <v>0</v>
      </c>
      <c r="J184">
        <v>1</v>
      </c>
      <c r="K184">
        <v>0</v>
      </c>
      <c r="L184"/>
      <c r="M184"/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f t="shared" si="4"/>
        <v>91</v>
      </c>
      <c r="AK184">
        <v>2</v>
      </c>
      <c r="AL184" s="23">
        <v>3</v>
      </c>
    </row>
    <row r="185" spans="1:38">
      <c r="A185" s="15">
        <v>40334</v>
      </c>
      <c r="B185" t="s">
        <v>58</v>
      </c>
      <c r="C185">
        <v>16</v>
      </c>
      <c r="D185" t="s">
        <v>138</v>
      </c>
      <c r="E185" t="s">
        <v>115</v>
      </c>
      <c r="F185">
        <v>2003</v>
      </c>
      <c r="G185" t="s">
        <v>15</v>
      </c>
      <c r="H185">
        <v>43</v>
      </c>
      <c r="I185">
        <v>0</v>
      </c>
      <c r="J185">
        <v>0</v>
      </c>
      <c r="K185">
        <v>0</v>
      </c>
      <c r="L185"/>
      <c r="M185"/>
      <c r="Q185">
        <v>0</v>
      </c>
      <c r="R185">
        <v>0</v>
      </c>
      <c r="S185">
        <v>0</v>
      </c>
      <c r="T185">
        <v>1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f t="shared" si="4"/>
        <v>44</v>
      </c>
      <c r="AK185">
        <v>2</v>
      </c>
      <c r="AL185" s="23">
        <v>3</v>
      </c>
    </row>
    <row r="186" spans="1:38">
      <c r="A186" s="15">
        <v>37778</v>
      </c>
      <c r="B186" t="s">
        <v>63</v>
      </c>
      <c r="C186">
        <v>24</v>
      </c>
      <c r="D186" t="s">
        <v>55</v>
      </c>
      <c r="E186" t="s">
        <v>131</v>
      </c>
      <c r="F186">
        <v>2003</v>
      </c>
      <c r="G186" t="s">
        <v>15</v>
      </c>
      <c r="H186">
        <v>0</v>
      </c>
      <c r="I186">
        <v>0</v>
      </c>
      <c r="J186">
        <v>0</v>
      </c>
      <c r="K186">
        <v>0</v>
      </c>
      <c r="L186"/>
      <c r="M186"/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2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14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f>SUM(H186:AI186)</f>
        <v>16</v>
      </c>
      <c r="AK186">
        <v>2</v>
      </c>
    </row>
    <row r="187" spans="1:38">
      <c r="A187" s="15">
        <v>37778</v>
      </c>
      <c r="B187" t="s">
        <v>62</v>
      </c>
      <c r="C187">
        <v>24</v>
      </c>
      <c r="D187" t="s">
        <v>56</v>
      </c>
      <c r="E187" t="s">
        <v>130</v>
      </c>
      <c r="F187">
        <v>2003</v>
      </c>
      <c r="G187" t="s">
        <v>15</v>
      </c>
      <c r="H187">
        <v>0</v>
      </c>
      <c r="I187">
        <v>0</v>
      </c>
      <c r="J187">
        <v>0</v>
      </c>
      <c r="K187">
        <v>0</v>
      </c>
      <c r="L187"/>
      <c r="M187"/>
      <c r="Q187">
        <v>0</v>
      </c>
      <c r="R187">
        <v>0</v>
      </c>
      <c r="S187">
        <v>2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f>SUM(H187:AI187)</f>
        <v>2</v>
      </c>
      <c r="AK187">
        <v>1</v>
      </c>
    </row>
    <row r="188" spans="1:38">
      <c r="A188" s="15">
        <v>37778</v>
      </c>
      <c r="B188" t="s">
        <v>59</v>
      </c>
      <c r="C188">
        <v>24</v>
      </c>
      <c r="D188" t="s">
        <v>138</v>
      </c>
      <c r="E188" t="s">
        <v>115</v>
      </c>
      <c r="F188">
        <v>2003</v>
      </c>
      <c r="G188" t="s">
        <v>15</v>
      </c>
      <c r="H188">
        <v>101</v>
      </c>
      <c r="I188">
        <v>0</v>
      </c>
      <c r="J188">
        <v>0</v>
      </c>
      <c r="K188">
        <v>0</v>
      </c>
      <c r="L188"/>
      <c r="M188"/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f t="shared" si="4"/>
        <v>101</v>
      </c>
      <c r="AK188">
        <v>1</v>
      </c>
      <c r="AL188" s="23">
        <v>2.7</v>
      </c>
    </row>
    <row r="189" spans="1:38">
      <c r="A189" s="15">
        <v>37778</v>
      </c>
      <c r="B189" t="s">
        <v>58</v>
      </c>
      <c r="C189">
        <v>24</v>
      </c>
      <c r="D189" t="s">
        <v>138</v>
      </c>
      <c r="E189" t="s">
        <v>115</v>
      </c>
      <c r="F189">
        <v>2003</v>
      </c>
      <c r="G189" t="s">
        <v>15</v>
      </c>
      <c r="H189">
        <v>42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f t="shared" si="4"/>
        <v>42</v>
      </c>
      <c r="AK189">
        <v>1</v>
      </c>
      <c r="AL189" s="23">
        <v>3.6</v>
      </c>
    </row>
    <row r="190" spans="1:38">
      <c r="A190" s="15">
        <v>37893</v>
      </c>
      <c r="B190" t="s">
        <v>63</v>
      </c>
      <c r="C190">
        <v>14</v>
      </c>
      <c r="D190" t="s">
        <v>55</v>
      </c>
      <c r="E190" t="s">
        <v>131</v>
      </c>
      <c r="F190">
        <v>2003</v>
      </c>
      <c r="G190" t="s">
        <v>16</v>
      </c>
      <c r="H190">
        <v>86</v>
      </c>
      <c r="I190">
        <v>1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f t="shared" si="4"/>
        <v>87</v>
      </c>
      <c r="AK190">
        <v>2</v>
      </c>
    </row>
    <row r="191" spans="1:38">
      <c r="A191" s="15">
        <v>37893</v>
      </c>
      <c r="B191" t="s">
        <v>62</v>
      </c>
      <c r="C191">
        <v>14</v>
      </c>
      <c r="D191" t="s">
        <v>56</v>
      </c>
      <c r="E191" t="s">
        <v>130</v>
      </c>
      <c r="F191">
        <v>2003</v>
      </c>
      <c r="G191" t="s">
        <v>16</v>
      </c>
      <c r="H191">
        <v>134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1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f t="shared" si="4"/>
        <v>135</v>
      </c>
      <c r="AK191">
        <v>2</v>
      </c>
    </row>
    <row r="192" spans="1:38">
      <c r="A192" s="15">
        <v>37893</v>
      </c>
      <c r="B192" t="s">
        <v>59</v>
      </c>
      <c r="C192">
        <v>14</v>
      </c>
      <c r="D192" t="s">
        <v>138</v>
      </c>
      <c r="E192" t="s">
        <v>115</v>
      </c>
      <c r="F192">
        <v>2003</v>
      </c>
      <c r="G192" t="s">
        <v>16</v>
      </c>
      <c r="H192">
        <v>219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f t="shared" si="4"/>
        <v>219</v>
      </c>
      <c r="AK192">
        <v>1</v>
      </c>
    </row>
    <row r="193" spans="1:40">
      <c r="A193" s="15">
        <v>37893</v>
      </c>
      <c r="B193" t="s">
        <v>58</v>
      </c>
      <c r="C193">
        <v>14</v>
      </c>
      <c r="D193" t="s">
        <v>138</v>
      </c>
      <c r="E193" t="s">
        <v>115</v>
      </c>
      <c r="F193">
        <v>2003</v>
      </c>
      <c r="G193" t="s">
        <v>16</v>
      </c>
      <c r="H193">
        <v>211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f t="shared" si="4"/>
        <v>211</v>
      </c>
      <c r="AK193">
        <v>1</v>
      </c>
    </row>
    <row r="194" spans="1:40">
      <c r="A194" s="15">
        <v>37894</v>
      </c>
      <c r="B194" t="s">
        <v>63</v>
      </c>
      <c r="C194">
        <v>23.5</v>
      </c>
      <c r="D194" t="s">
        <v>55</v>
      </c>
      <c r="E194" t="s">
        <v>131</v>
      </c>
      <c r="F194">
        <v>2003</v>
      </c>
      <c r="G194" t="s">
        <v>16</v>
      </c>
      <c r="H194">
        <v>86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3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1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f t="shared" si="4"/>
        <v>90</v>
      </c>
      <c r="AK194">
        <v>3</v>
      </c>
      <c r="AL194" s="23">
        <v>2.0299999999999998</v>
      </c>
      <c r="AM194">
        <v>16.600000000000001</v>
      </c>
    </row>
    <row r="195" spans="1:40">
      <c r="A195" s="15">
        <v>37894</v>
      </c>
      <c r="B195" t="s">
        <v>62</v>
      </c>
      <c r="C195">
        <v>23.5</v>
      </c>
      <c r="D195" t="s">
        <v>56</v>
      </c>
      <c r="E195" t="s">
        <v>130</v>
      </c>
      <c r="F195">
        <v>2003</v>
      </c>
      <c r="G195" t="s">
        <v>16</v>
      </c>
      <c r="H195">
        <v>127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1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f t="shared" si="4"/>
        <v>128</v>
      </c>
      <c r="AK195">
        <v>2</v>
      </c>
      <c r="AL195" s="23">
        <v>1.8</v>
      </c>
    </row>
    <row r="196" spans="1:40">
      <c r="A196" s="15">
        <v>37894</v>
      </c>
      <c r="B196" t="s">
        <v>59</v>
      </c>
      <c r="C196">
        <v>23.5</v>
      </c>
      <c r="D196" t="s">
        <v>138</v>
      </c>
      <c r="E196" t="s">
        <v>115</v>
      </c>
      <c r="F196">
        <v>2003</v>
      </c>
      <c r="G196" t="s">
        <v>16</v>
      </c>
      <c r="H196">
        <v>284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f t="shared" si="4"/>
        <v>284</v>
      </c>
      <c r="AK196">
        <v>1</v>
      </c>
      <c r="AL196" s="23">
        <v>3.2</v>
      </c>
    </row>
    <row r="197" spans="1:40">
      <c r="A197" s="15">
        <v>37894</v>
      </c>
      <c r="B197" t="s">
        <v>58</v>
      </c>
      <c r="C197">
        <v>23.5</v>
      </c>
      <c r="D197" t="s">
        <v>138</v>
      </c>
      <c r="E197" t="s">
        <v>115</v>
      </c>
      <c r="F197">
        <v>2003</v>
      </c>
      <c r="G197" t="s">
        <v>16</v>
      </c>
      <c r="H197">
        <v>211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f t="shared" si="4"/>
        <v>211</v>
      </c>
      <c r="AK197">
        <v>1</v>
      </c>
      <c r="AL197" s="23">
        <v>3.43</v>
      </c>
    </row>
    <row r="198" spans="1:40">
      <c r="A198" s="15">
        <v>37895</v>
      </c>
      <c r="B198" t="s">
        <v>63</v>
      </c>
      <c r="C198">
        <v>24.5</v>
      </c>
      <c r="D198" t="s">
        <v>55</v>
      </c>
      <c r="E198" t="s">
        <v>131</v>
      </c>
      <c r="F198">
        <v>2003</v>
      </c>
      <c r="G198" t="s">
        <v>16</v>
      </c>
      <c r="H198">
        <v>90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1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f t="shared" si="4"/>
        <v>91</v>
      </c>
      <c r="AK198">
        <v>2</v>
      </c>
      <c r="AL198" s="23">
        <v>2.1</v>
      </c>
      <c r="AN198">
        <v>5</v>
      </c>
    </row>
    <row r="199" spans="1:40">
      <c r="A199" s="15">
        <v>37895</v>
      </c>
      <c r="B199" t="s">
        <v>62</v>
      </c>
      <c r="C199">
        <v>24.5</v>
      </c>
      <c r="D199" t="s">
        <v>56</v>
      </c>
      <c r="E199" t="s">
        <v>130</v>
      </c>
      <c r="F199">
        <v>2003</v>
      </c>
      <c r="G199" t="s">
        <v>16</v>
      </c>
      <c r="H199">
        <v>114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1</v>
      </c>
      <c r="T199">
        <v>0</v>
      </c>
      <c r="U199">
        <v>0</v>
      </c>
      <c r="V199">
        <v>0</v>
      </c>
      <c r="W199">
        <v>0</v>
      </c>
      <c r="X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f t="shared" si="4"/>
        <v>115</v>
      </c>
      <c r="AK199">
        <v>2</v>
      </c>
      <c r="AL199" s="23">
        <v>1.6</v>
      </c>
      <c r="AM199">
        <v>5</v>
      </c>
    </row>
    <row r="200" spans="1:40">
      <c r="A200" s="15">
        <v>37895</v>
      </c>
      <c r="B200" t="s">
        <v>59</v>
      </c>
      <c r="C200">
        <v>24.5</v>
      </c>
      <c r="D200" t="s">
        <v>138</v>
      </c>
      <c r="E200" t="s">
        <v>115</v>
      </c>
      <c r="F200">
        <v>2003</v>
      </c>
      <c r="G200" t="s">
        <v>16</v>
      </c>
      <c r="H200">
        <v>29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f t="shared" si="4"/>
        <v>29</v>
      </c>
      <c r="AK200">
        <v>1</v>
      </c>
      <c r="AL200" s="23">
        <v>1.9</v>
      </c>
    </row>
    <row r="201" spans="1:40">
      <c r="A201" s="15">
        <v>37896</v>
      </c>
      <c r="B201" t="s">
        <v>63</v>
      </c>
      <c r="C201">
        <v>23</v>
      </c>
      <c r="D201" t="s">
        <v>55</v>
      </c>
      <c r="E201" t="s">
        <v>131</v>
      </c>
      <c r="F201">
        <v>2003</v>
      </c>
      <c r="G201" t="s">
        <v>16</v>
      </c>
      <c r="H201">
        <v>109</v>
      </c>
      <c r="I201">
        <v>0</v>
      </c>
      <c r="J201">
        <v>0</v>
      </c>
      <c r="K201">
        <v>0</v>
      </c>
      <c r="L201"/>
      <c r="M201"/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f t="shared" si="4"/>
        <v>109</v>
      </c>
      <c r="AK201">
        <v>1</v>
      </c>
      <c r="AL201" s="23">
        <v>1.6</v>
      </c>
    </row>
    <row r="202" spans="1:40">
      <c r="A202" s="15">
        <v>37896</v>
      </c>
      <c r="B202" t="s">
        <v>62</v>
      </c>
      <c r="C202">
        <v>23</v>
      </c>
      <c r="D202" t="s">
        <v>56</v>
      </c>
      <c r="E202" t="s">
        <v>130</v>
      </c>
      <c r="F202">
        <v>2003</v>
      </c>
      <c r="G202" t="s">
        <v>16</v>
      </c>
      <c r="H202">
        <v>65</v>
      </c>
      <c r="I202">
        <v>0</v>
      </c>
      <c r="J202">
        <v>0</v>
      </c>
      <c r="K202">
        <v>0</v>
      </c>
      <c r="L202">
        <v>0</v>
      </c>
      <c r="M202"/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f t="shared" si="4"/>
        <v>65</v>
      </c>
      <c r="AK202">
        <v>1</v>
      </c>
      <c r="AL202" s="23">
        <v>1.6</v>
      </c>
    </row>
    <row r="203" spans="1:40">
      <c r="A203" s="15">
        <v>37896</v>
      </c>
      <c r="B203" t="s">
        <v>59</v>
      </c>
      <c r="C203">
        <v>23</v>
      </c>
      <c r="D203" t="s">
        <v>138</v>
      </c>
      <c r="E203" t="s">
        <v>115</v>
      </c>
      <c r="F203">
        <v>2003</v>
      </c>
      <c r="G203" t="s">
        <v>16</v>
      </c>
      <c r="H203">
        <v>266</v>
      </c>
      <c r="I203">
        <v>0</v>
      </c>
      <c r="J203">
        <v>0</v>
      </c>
      <c r="K203">
        <v>0</v>
      </c>
      <c r="L203">
        <v>0</v>
      </c>
      <c r="M203"/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f t="shared" si="4"/>
        <v>266</v>
      </c>
      <c r="AK203">
        <v>1</v>
      </c>
      <c r="AL203" s="23">
        <v>1.9</v>
      </c>
    </row>
    <row r="204" spans="1:40">
      <c r="A204" s="15">
        <v>37896</v>
      </c>
      <c r="B204" t="s">
        <v>58</v>
      </c>
      <c r="C204">
        <v>23</v>
      </c>
      <c r="D204" t="s">
        <v>138</v>
      </c>
      <c r="E204" t="s">
        <v>115</v>
      </c>
      <c r="F204">
        <v>2003</v>
      </c>
      <c r="G204" t="s">
        <v>16</v>
      </c>
      <c r="H204">
        <v>243</v>
      </c>
      <c r="I204">
        <v>0</v>
      </c>
      <c r="J204">
        <v>0</v>
      </c>
      <c r="K204">
        <v>0</v>
      </c>
      <c r="L204">
        <v>0</v>
      </c>
      <c r="M204"/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f t="shared" si="4"/>
        <v>243</v>
      </c>
      <c r="AK204">
        <v>1</v>
      </c>
      <c r="AL204" s="23">
        <v>2.2999999999999998</v>
      </c>
    </row>
    <row r="205" spans="1:40">
      <c r="A205" s="15">
        <v>37910</v>
      </c>
      <c r="B205" t="s">
        <v>63</v>
      </c>
      <c r="C205">
        <v>20.5</v>
      </c>
      <c r="D205" t="s">
        <v>55</v>
      </c>
      <c r="E205" t="s">
        <v>131</v>
      </c>
      <c r="F205">
        <v>2003</v>
      </c>
      <c r="G205" t="s">
        <v>16</v>
      </c>
      <c r="H205">
        <v>15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f t="shared" si="4"/>
        <v>15</v>
      </c>
      <c r="AK205">
        <v>1</v>
      </c>
      <c r="AL205" s="23">
        <v>1.3</v>
      </c>
    </row>
    <row r="206" spans="1:40">
      <c r="A206" s="15">
        <v>37910</v>
      </c>
      <c r="B206" t="s">
        <v>62</v>
      </c>
      <c r="C206">
        <v>20.5</v>
      </c>
      <c r="D206" t="s">
        <v>56</v>
      </c>
      <c r="E206" t="s">
        <v>130</v>
      </c>
      <c r="F206">
        <v>2003</v>
      </c>
      <c r="G206" t="s">
        <v>16</v>
      </c>
      <c r="H206">
        <v>4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f t="shared" si="4"/>
        <v>4</v>
      </c>
      <c r="AK206">
        <v>1</v>
      </c>
      <c r="AL206" s="23">
        <v>1.3</v>
      </c>
    </row>
    <row r="207" spans="1:40">
      <c r="A207" s="15">
        <v>37910</v>
      </c>
      <c r="B207" t="s">
        <v>59</v>
      </c>
      <c r="C207">
        <v>20.5</v>
      </c>
      <c r="D207" t="s">
        <v>138</v>
      </c>
      <c r="E207" t="s">
        <v>115</v>
      </c>
      <c r="F207">
        <v>2003</v>
      </c>
      <c r="G207" t="s">
        <v>16</v>
      </c>
      <c r="H207">
        <v>225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f t="shared" si="4"/>
        <v>225</v>
      </c>
      <c r="AK207">
        <v>1</v>
      </c>
      <c r="AL207" s="23">
        <v>1.2</v>
      </c>
    </row>
    <row r="208" spans="1:40">
      <c r="A208" s="15">
        <v>37910</v>
      </c>
      <c r="B208" t="s">
        <v>58</v>
      </c>
      <c r="C208">
        <v>20.5</v>
      </c>
      <c r="D208" t="s">
        <v>138</v>
      </c>
      <c r="E208" t="s">
        <v>115</v>
      </c>
      <c r="F208">
        <v>2003</v>
      </c>
      <c r="G208" t="s">
        <v>16</v>
      </c>
      <c r="H208">
        <v>168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f t="shared" si="4"/>
        <v>168</v>
      </c>
      <c r="AK208">
        <v>1</v>
      </c>
      <c r="AL208" s="23">
        <v>1.4</v>
      </c>
    </row>
    <row r="209" spans="1:39">
      <c r="A209" s="15">
        <v>37911</v>
      </c>
      <c r="B209" t="s">
        <v>63</v>
      </c>
      <c r="C209">
        <v>24</v>
      </c>
      <c r="D209" t="s">
        <v>55</v>
      </c>
      <c r="E209" t="s">
        <v>131</v>
      </c>
      <c r="F209">
        <v>2003</v>
      </c>
      <c r="G209" t="s">
        <v>16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f t="shared" si="4"/>
        <v>0</v>
      </c>
      <c r="AK209">
        <v>1</v>
      </c>
    </row>
    <row r="210" spans="1:39">
      <c r="A210" s="15">
        <v>37911</v>
      </c>
      <c r="B210" t="s">
        <v>62</v>
      </c>
      <c r="C210">
        <v>24</v>
      </c>
      <c r="D210" t="s">
        <v>56</v>
      </c>
      <c r="E210" t="s">
        <v>130</v>
      </c>
      <c r="F210">
        <v>2003</v>
      </c>
      <c r="G210" t="s">
        <v>16</v>
      </c>
      <c r="H210">
        <v>4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f t="shared" si="4"/>
        <v>4</v>
      </c>
      <c r="AK210">
        <v>1</v>
      </c>
      <c r="AL210" s="23">
        <v>3.1</v>
      </c>
    </row>
    <row r="211" spans="1:39">
      <c r="A211" s="15">
        <v>37911</v>
      </c>
      <c r="B211" t="s">
        <v>59</v>
      </c>
      <c r="C211">
        <v>24</v>
      </c>
      <c r="D211" t="s">
        <v>138</v>
      </c>
      <c r="E211" t="s">
        <v>115</v>
      </c>
      <c r="F211">
        <v>2003</v>
      </c>
      <c r="G211" t="s">
        <v>16</v>
      </c>
      <c r="H211">
        <v>112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f t="shared" si="4"/>
        <v>112</v>
      </c>
      <c r="AK211">
        <v>1</v>
      </c>
      <c r="AL211" s="23">
        <v>1.3</v>
      </c>
    </row>
    <row r="212" spans="1:39">
      <c r="A212" s="15">
        <v>37911</v>
      </c>
      <c r="B212" t="s">
        <v>58</v>
      </c>
      <c r="C212">
        <v>24</v>
      </c>
      <c r="D212" t="s">
        <v>138</v>
      </c>
      <c r="E212" t="s">
        <v>115</v>
      </c>
      <c r="F212">
        <v>2003</v>
      </c>
      <c r="G212" t="s">
        <v>16</v>
      </c>
      <c r="H212">
        <v>134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f t="shared" si="4"/>
        <v>134</v>
      </c>
      <c r="AK212">
        <v>1</v>
      </c>
      <c r="AL212" s="23">
        <v>1.5</v>
      </c>
    </row>
    <row r="213" spans="1:39">
      <c r="A213" s="15">
        <v>37924</v>
      </c>
      <c r="B213" t="s">
        <v>63</v>
      </c>
      <c r="C213">
        <v>15</v>
      </c>
      <c r="D213" t="s">
        <v>55</v>
      </c>
      <c r="E213" t="s">
        <v>131</v>
      </c>
      <c r="F213">
        <v>2003</v>
      </c>
      <c r="G213" t="s">
        <v>16</v>
      </c>
      <c r="H213">
        <v>112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f t="shared" si="4"/>
        <v>112</v>
      </c>
      <c r="AK213">
        <v>1</v>
      </c>
      <c r="AL213" s="23">
        <v>2.5</v>
      </c>
    </row>
    <row r="214" spans="1:39">
      <c r="A214" s="15">
        <v>37924</v>
      </c>
      <c r="B214" t="s">
        <v>62</v>
      </c>
      <c r="C214">
        <v>15</v>
      </c>
      <c r="D214" t="s">
        <v>56</v>
      </c>
      <c r="E214" t="s">
        <v>130</v>
      </c>
      <c r="F214">
        <v>2003</v>
      </c>
      <c r="G214" t="s">
        <v>16</v>
      </c>
      <c r="H214">
        <v>45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1</v>
      </c>
      <c r="AH214">
        <v>0</v>
      </c>
      <c r="AI214">
        <v>0</v>
      </c>
      <c r="AJ214">
        <f t="shared" ref="AJ214:AJ230" si="5">SUM(H214:AI214)</f>
        <v>46</v>
      </c>
      <c r="AK214">
        <v>2</v>
      </c>
      <c r="AL214" s="23">
        <v>1.2</v>
      </c>
    </row>
    <row r="215" spans="1:39">
      <c r="A215" s="15">
        <v>37924</v>
      </c>
      <c r="B215" t="s">
        <v>59</v>
      </c>
      <c r="C215">
        <v>15</v>
      </c>
      <c r="D215" t="s">
        <v>138</v>
      </c>
      <c r="E215" t="s">
        <v>115</v>
      </c>
      <c r="F215">
        <v>2003</v>
      </c>
      <c r="G215" t="s">
        <v>16</v>
      </c>
      <c r="H215">
        <v>181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f t="shared" si="5"/>
        <v>181</v>
      </c>
      <c r="AK215">
        <v>1</v>
      </c>
      <c r="AL215" s="23">
        <v>1.3</v>
      </c>
    </row>
    <row r="216" spans="1:39">
      <c r="A216" s="15">
        <v>37924</v>
      </c>
      <c r="B216" t="s">
        <v>58</v>
      </c>
      <c r="C216">
        <v>15</v>
      </c>
      <c r="D216" t="s">
        <v>138</v>
      </c>
      <c r="E216" t="s">
        <v>115</v>
      </c>
      <c r="F216">
        <v>2003</v>
      </c>
      <c r="G216" t="s">
        <v>16</v>
      </c>
      <c r="H216">
        <v>172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f t="shared" si="5"/>
        <v>172</v>
      </c>
      <c r="AK216">
        <v>1</v>
      </c>
      <c r="AL216" s="23">
        <v>1.8</v>
      </c>
    </row>
    <row r="217" spans="1:39">
      <c r="A217" s="15">
        <v>38140</v>
      </c>
      <c r="B217" t="s">
        <v>61</v>
      </c>
      <c r="C217">
        <v>14.5</v>
      </c>
      <c r="D217" t="s">
        <v>55</v>
      </c>
      <c r="E217" t="s">
        <v>131</v>
      </c>
      <c r="F217">
        <v>2004</v>
      </c>
      <c r="G217" t="s">
        <v>15</v>
      </c>
      <c r="H217">
        <v>76</v>
      </c>
      <c r="I217">
        <v>0</v>
      </c>
      <c r="J217">
        <v>0</v>
      </c>
      <c r="K217">
        <v>0</v>
      </c>
      <c r="L217">
        <f>SUM(L8:L216)</f>
        <v>0</v>
      </c>
      <c r="M217">
        <f>SUM(M8:M216)</f>
        <v>0</v>
      </c>
      <c r="N217">
        <f>SUM(N8:N216)</f>
        <v>0</v>
      </c>
      <c r="O217">
        <f>SUM(O8:O216)</f>
        <v>0</v>
      </c>
      <c r="P217">
        <f>SUM(P8:P216)</f>
        <v>0</v>
      </c>
      <c r="Q217">
        <v>0</v>
      </c>
      <c r="R217">
        <v>0</v>
      </c>
      <c r="S217">
        <v>0</v>
      </c>
      <c r="T217">
        <v>1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f t="shared" si="5"/>
        <v>77</v>
      </c>
      <c r="AK217">
        <v>2</v>
      </c>
      <c r="AL217" s="23">
        <f>175/76</f>
        <v>2.3026315789473686</v>
      </c>
    </row>
    <row r="218" spans="1:39">
      <c r="A218" s="15">
        <v>38140</v>
      </c>
      <c r="B218" t="s">
        <v>62</v>
      </c>
      <c r="C218">
        <v>14.5</v>
      </c>
      <c r="D218" t="s">
        <v>56</v>
      </c>
      <c r="E218" t="s">
        <v>130</v>
      </c>
      <c r="F218">
        <v>2004</v>
      </c>
      <c r="G218" t="s">
        <v>15</v>
      </c>
      <c r="H218">
        <v>44</v>
      </c>
      <c r="I218">
        <v>0</v>
      </c>
      <c r="J218">
        <v>2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2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f t="shared" si="5"/>
        <v>48</v>
      </c>
      <c r="AK218">
        <v>3</v>
      </c>
      <c r="AL218" s="23">
        <f>100/44</f>
        <v>2.2727272727272729</v>
      </c>
    </row>
    <row r="219" spans="1:39">
      <c r="A219" s="15">
        <v>38140</v>
      </c>
      <c r="B219" t="s">
        <v>59</v>
      </c>
      <c r="C219">
        <v>14.5</v>
      </c>
      <c r="D219" t="s">
        <v>138</v>
      </c>
      <c r="E219" t="s">
        <v>115</v>
      </c>
      <c r="F219">
        <v>2004</v>
      </c>
      <c r="G219" t="s">
        <v>15</v>
      </c>
      <c r="H219">
        <v>466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1</v>
      </c>
      <c r="AG219">
        <v>0</v>
      </c>
      <c r="AH219">
        <v>0</v>
      </c>
      <c r="AI219">
        <v>0</v>
      </c>
      <c r="AJ219">
        <f t="shared" si="5"/>
        <v>467</v>
      </c>
      <c r="AK219">
        <v>3</v>
      </c>
      <c r="AL219" s="23">
        <f>1040/466</f>
        <v>2.2317596566523603</v>
      </c>
    </row>
    <row r="220" spans="1:39">
      <c r="A220" s="15">
        <v>38140</v>
      </c>
      <c r="B220" t="s">
        <v>58</v>
      </c>
      <c r="C220">
        <v>14.5</v>
      </c>
      <c r="D220" t="s">
        <v>138</v>
      </c>
      <c r="E220" t="s">
        <v>115</v>
      </c>
      <c r="F220">
        <v>2004</v>
      </c>
      <c r="G220" t="s">
        <v>15</v>
      </c>
      <c r="H220">
        <v>150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f t="shared" si="5"/>
        <v>150</v>
      </c>
      <c r="AK220">
        <v>1</v>
      </c>
      <c r="AL220" s="23">
        <f>330/150</f>
        <v>2.2000000000000002</v>
      </c>
    </row>
    <row r="221" spans="1:39">
      <c r="A221" s="15">
        <v>38141</v>
      </c>
      <c r="B221" t="s">
        <v>61</v>
      </c>
      <c r="C221">
        <v>24</v>
      </c>
      <c r="D221" t="s">
        <v>55</v>
      </c>
      <c r="E221" t="s">
        <v>131</v>
      </c>
      <c r="F221">
        <v>2004</v>
      </c>
      <c r="G221" t="s">
        <v>15</v>
      </c>
      <c r="H221">
        <v>115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1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f t="shared" si="5"/>
        <v>116</v>
      </c>
      <c r="AK221">
        <v>2</v>
      </c>
      <c r="AL221" s="23">
        <f>315/115</f>
        <v>2.7391304347826089</v>
      </c>
      <c r="AM221">
        <v>25</v>
      </c>
    </row>
    <row r="222" spans="1:39">
      <c r="A222" s="15">
        <v>38141</v>
      </c>
      <c r="B222" t="s">
        <v>62</v>
      </c>
      <c r="C222">
        <v>24</v>
      </c>
      <c r="D222" t="s">
        <v>56</v>
      </c>
      <c r="E222" t="s">
        <v>130</v>
      </c>
      <c r="F222">
        <v>2004</v>
      </c>
      <c r="G222" t="s">
        <v>15</v>
      </c>
      <c r="H222">
        <v>206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1</v>
      </c>
      <c r="T222">
        <v>0</v>
      </c>
      <c r="U222">
        <v>3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1</v>
      </c>
      <c r="AB222">
        <v>2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f t="shared" si="5"/>
        <v>213</v>
      </c>
      <c r="AK222">
        <v>5</v>
      </c>
      <c r="AL222" s="23">
        <f>360/206</f>
        <v>1.7475728155339805</v>
      </c>
      <c r="AM222">
        <v>10</v>
      </c>
    </row>
    <row r="223" spans="1:39">
      <c r="A223" s="15">
        <v>38141</v>
      </c>
      <c r="B223" t="s">
        <v>59</v>
      </c>
      <c r="C223">
        <v>24</v>
      </c>
      <c r="D223" t="s">
        <v>138</v>
      </c>
      <c r="E223" t="s">
        <v>115</v>
      </c>
      <c r="F223">
        <v>2004</v>
      </c>
      <c r="G223" t="s">
        <v>15</v>
      </c>
      <c r="H223">
        <v>306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f t="shared" si="5"/>
        <v>306</v>
      </c>
      <c r="AK223">
        <v>1</v>
      </c>
      <c r="AL223" s="23">
        <f>705/306</f>
        <v>2.3039215686274508</v>
      </c>
    </row>
    <row r="224" spans="1:39">
      <c r="A224" s="15">
        <v>38141</v>
      </c>
      <c r="B224" t="s">
        <v>58</v>
      </c>
      <c r="C224">
        <v>24</v>
      </c>
      <c r="D224" t="s">
        <v>138</v>
      </c>
      <c r="E224" t="s">
        <v>115</v>
      </c>
      <c r="F224">
        <v>2004</v>
      </c>
      <c r="G224" t="s">
        <v>15</v>
      </c>
      <c r="H224">
        <v>250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f t="shared" si="5"/>
        <v>250</v>
      </c>
      <c r="AK224">
        <v>1</v>
      </c>
      <c r="AL224" s="23">
        <f>275/250</f>
        <v>1.1000000000000001</v>
      </c>
    </row>
    <row r="225" spans="1:40">
      <c r="A225" s="15">
        <v>38142</v>
      </c>
      <c r="B225" t="s">
        <v>61</v>
      </c>
      <c r="C225">
        <v>24</v>
      </c>
      <c r="D225" t="s">
        <v>55</v>
      </c>
      <c r="E225" t="s">
        <v>131</v>
      </c>
      <c r="F225">
        <v>2004</v>
      </c>
      <c r="G225" t="s">
        <v>15</v>
      </c>
      <c r="H225">
        <v>164</v>
      </c>
      <c r="I225">
        <v>0</v>
      </c>
      <c r="J225">
        <v>0</v>
      </c>
      <c r="K225">
        <v>1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2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4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f t="shared" si="5"/>
        <v>171</v>
      </c>
      <c r="AK225">
        <v>4</v>
      </c>
      <c r="AL225" s="23">
        <f>405/164</f>
        <v>2.4695121951219514</v>
      </c>
    </row>
    <row r="226" spans="1:40">
      <c r="A226" s="15">
        <v>38142</v>
      </c>
      <c r="B226" t="s">
        <v>62</v>
      </c>
      <c r="C226">
        <v>24</v>
      </c>
      <c r="D226" t="s">
        <v>56</v>
      </c>
      <c r="E226" t="s">
        <v>130</v>
      </c>
      <c r="F226">
        <v>2004</v>
      </c>
      <c r="G226" t="s">
        <v>15</v>
      </c>
      <c r="H226">
        <v>100</v>
      </c>
      <c r="I226">
        <v>0</v>
      </c>
      <c r="J226">
        <v>0</v>
      </c>
      <c r="K226">
        <v>1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9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4</v>
      </c>
      <c r="AC226">
        <v>0</v>
      </c>
      <c r="AD226">
        <v>1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f t="shared" si="5"/>
        <v>115</v>
      </c>
      <c r="AK226">
        <v>5</v>
      </c>
      <c r="AL226" s="23">
        <f>180/100</f>
        <v>1.8</v>
      </c>
    </row>
    <row r="227" spans="1:40">
      <c r="A227" s="15">
        <v>38142</v>
      </c>
      <c r="B227" t="s">
        <v>58</v>
      </c>
      <c r="C227">
        <v>24</v>
      </c>
      <c r="D227" t="s">
        <v>138</v>
      </c>
      <c r="E227" t="s">
        <v>115</v>
      </c>
      <c r="F227">
        <v>2004</v>
      </c>
      <c r="G227" t="s">
        <v>15</v>
      </c>
      <c r="H227">
        <v>253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1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f t="shared" si="5"/>
        <v>254</v>
      </c>
      <c r="AK227">
        <v>2</v>
      </c>
      <c r="AL227" s="23">
        <f>405/253</f>
        <v>1.6007905138339922</v>
      </c>
    </row>
    <row r="228" spans="1:40">
      <c r="A228" s="15">
        <v>38148</v>
      </c>
      <c r="B228" t="s">
        <v>61</v>
      </c>
      <c r="C228">
        <v>16.5</v>
      </c>
      <c r="D228" t="s">
        <v>55</v>
      </c>
      <c r="E228" t="s">
        <v>131</v>
      </c>
      <c r="F228">
        <v>2004</v>
      </c>
      <c r="G228" t="s">
        <v>15</v>
      </c>
      <c r="H228">
        <v>115</v>
      </c>
      <c r="I228">
        <v>0</v>
      </c>
      <c r="J228">
        <v>0</v>
      </c>
      <c r="K228">
        <v>1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f t="shared" si="5"/>
        <v>116</v>
      </c>
      <c r="AK228">
        <v>2</v>
      </c>
      <c r="AL228" s="23">
        <f>115/77</f>
        <v>1.4935064935064934</v>
      </c>
    </row>
    <row r="229" spans="1:40">
      <c r="A229" s="15">
        <v>38148</v>
      </c>
      <c r="B229" t="s">
        <v>62</v>
      </c>
      <c r="C229">
        <v>16.5</v>
      </c>
      <c r="D229" t="s">
        <v>56</v>
      </c>
      <c r="E229" t="s">
        <v>130</v>
      </c>
      <c r="F229">
        <v>2004</v>
      </c>
      <c r="G229" t="s">
        <v>15</v>
      </c>
      <c r="H229">
        <v>0</v>
      </c>
      <c r="I229">
        <v>0</v>
      </c>
      <c r="J229">
        <v>1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f t="shared" si="5"/>
        <v>1</v>
      </c>
      <c r="AK229">
        <v>1</v>
      </c>
    </row>
    <row r="230" spans="1:40">
      <c r="A230" s="15">
        <v>38148</v>
      </c>
      <c r="B230" t="s">
        <v>59</v>
      </c>
      <c r="C230">
        <v>3</v>
      </c>
      <c r="D230" t="s">
        <v>138</v>
      </c>
      <c r="E230" t="s">
        <v>115</v>
      </c>
      <c r="F230">
        <v>2004</v>
      </c>
      <c r="G230" t="s">
        <v>15</v>
      </c>
      <c r="H230">
        <v>284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2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f t="shared" si="5"/>
        <v>286</v>
      </c>
      <c r="AK230">
        <v>2</v>
      </c>
      <c r="AL230" s="23">
        <f>490/284</f>
        <v>1.7253521126760563</v>
      </c>
    </row>
    <row r="231" spans="1:40">
      <c r="A231" s="15">
        <v>38148</v>
      </c>
      <c r="B231" t="s">
        <v>58</v>
      </c>
      <c r="C231">
        <v>3</v>
      </c>
      <c r="D231" t="s">
        <v>138</v>
      </c>
      <c r="E231" t="s">
        <v>115</v>
      </c>
      <c r="F231">
        <v>2004</v>
      </c>
      <c r="G231" t="s">
        <v>15</v>
      </c>
      <c r="H231">
        <v>273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f>SUM(H231:AI231)</f>
        <v>273</v>
      </c>
      <c r="AK231">
        <v>1</v>
      </c>
      <c r="AL231" s="23">
        <f>440/273</f>
        <v>1.6117216117216118</v>
      </c>
    </row>
    <row r="232" spans="1:40">
      <c r="A232" s="15">
        <v>38245</v>
      </c>
      <c r="B232" t="s">
        <v>61</v>
      </c>
      <c r="C232">
        <v>14</v>
      </c>
      <c r="D232" t="s">
        <v>55</v>
      </c>
      <c r="E232" t="s">
        <v>131</v>
      </c>
      <c r="F232">
        <v>2004</v>
      </c>
      <c r="G232" t="s">
        <v>16</v>
      </c>
      <c r="H232">
        <v>13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f>SUM(H232:AI232)</f>
        <v>13</v>
      </c>
      <c r="AK232">
        <v>1</v>
      </c>
      <c r="AL232" s="23">
        <v>2</v>
      </c>
    </row>
    <row r="233" spans="1:40">
      <c r="A233" s="15">
        <v>38245</v>
      </c>
      <c r="B233" t="s">
        <v>63</v>
      </c>
      <c r="C233">
        <v>14</v>
      </c>
      <c r="D233" t="s">
        <v>55</v>
      </c>
      <c r="E233" t="s">
        <v>131</v>
      </c>
      <c r="F233">
        <v>2004</v>
      </c>
      <c r="G233" t="s">
        <v>16</v>
      </c>
      <c r="H233">
        <v>6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f t="shared" ref="AJ233:AJ268" si="6">SUM(H233:AI233)</f>
        <v>6</v>
      </c>
      <c r="AK233">
        <v>1</v>
      </c>
      <c r="AL233" s="23">
        <v>0.33</v>
      </c>
    </row>
    <row r="234" spans="1:40">
      <c r="A234" s="15">
        <v>38245</v>
      </c>
      <c r="B234" t="s">
        <v>59</v>
      </c>
      <c r="C234">
        <v>13.5</v>
      </c>
      <c r="D234" t="s">
        <v>138</v>
      </c>
      <c r="E234" t="s">
        <v>115</v>
      </c>
      <c r="F234">
        <v>2004</v>
      </c>
      <c r="G234" t="s">
        <v>16</v>
      </c>
      <c r="H234">
        <v>237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f t="shared" si="6"/>
        <v>237</v>
      </c>
      <c r="AK234">
        <v>1</v>
      </c>
      <c r="AL234" s="23">
        <v>2</v>
      </c>
    </row>
    <row r="235" spans="1:40">
      <c r="A235" s="15">
        <v>38245</v>
      </c>
      <c r="B235" t="s">
        <v>58</v>
      </c>
      <c r="C235">
        <v>13.5</v>
      </c>
      <c r="D235" t="s">
        <v>138</v>
      </c>
      <c r="E235" t="s">
        <v>115</v>
      </c>
      <c r="F235">
        <v>2004</v>
      </c>
      <c r="G235" t="s">
        <v>16</v>
      </c>
      <c r="H235">
        <v>575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f t="shared" si="6"/>
        <v>575</v>
      </c>
      <c r="AK235">
        <v>1</v>
      </c>
      <c r="AL235" s="23">
        <v>3.5</v>
      </c>
    </row>
    <row r="236" spans="1:40">
      <c r="A236" s="15">
        <v>38246</v>
      </c>
      <c r="B236" t="s">
        <v>61</v>
      </c>
      <c r="C236">
        <v>23.5</v>
      </c>
      <c r="D236" t="s">
        <v>55</v>
      </c>
      <c r="E236" t="s">
        <v>131</v>
      </c>
      <c r="F236">
        <v>2004</v>
      </c>
      <c r="G236" t="s">
        <v>16</v>
      </c>
      <c r="H236">
        <v>116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1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f t="shared" si="6"/>
        <v>117</v>
      </c>
      <c r="AK236">
        <v>2</v>
      </c>
      <c r="AL236" s="23">
        <v>1.7</v>
      </c>
      <c r="AN236">
        <v>3</v>
      </c>
    </row>
    <row r="237" spans="1:40">
      <c r="A237" s="15">
        <v>38246</v>
      </c>
      <c r="B237" t="s">
        <v>63</v>
      </c>
      <c r="C237">
        <v>23.5</v>
      </c>
      <c r="D237" t="s">
        <v>55</v>
      </c>
      <c r="E237" t="s">
        <v>131</v>
      </c>
      <c r="F237">
        <v>2004</v>
      </c>
      <c r="G237" t="s">
        <v>16</v>
      </c>
      <c r="H237">
        <v>130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f t="shared" si="6"/>
        <v>130</v>
      </c>
      <c r="AK237">
        <v>1</v>
      </c>
      <c r="AL237" s="23">
        <v>3</v>
      </c>
    </row>
    <row r="238" spans="1:40">
      <c r="A238" s="15">
        <v>38246</v>
      </c>
      <c r="B238" t="s">
        <v>59</v>
      </c>
      <c r="C238">
        <v>19.5</v>
      </c>
      <c r="D238" t="s">
        <v>138</v>
      </c>
      <c r="E238" t="s">
        <v>115</v>
      </c>
      <c r="F238">
        <v>2004</v>
      </c>
      <c r="G238" t="s">
        <v>16</v>
      </c>
      <c r="H238">
        <v>181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f t="shared" si="6"/>
        <v>181</v>
      </c>
      <c r="AK238">
        <v>1</v>
      </c>
      <c r="AL238" s="23">
        <v>2</v>
      </c>
    </row>
    <row r="239" spans="1:40">
      <c r="A239" s="15">
        <v>38250</v>
      </c>
      <c r="B239" t="s">
        <v>61</v>
      </c>
      <c r="C239">
        <v>3</v>
      </c>
      <c r="D239" t="s">
        <v>55</v>
      </c>
      <c r="E239" t="s">
        <v>131</v>
      </c>
      <c r="F239">
        <v>2004</v>
      </c>
      <c r="G239" t="s">
        <v>16</v>
      </c>
      <c r="H239">
        <v>8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f t="shared" si="6"/>
        <v>8</v>
      </c>
      <c r="AK239">
        <v>1</v>
      </c>
      <c r="AL239" s="23">
        <v>2.5</v>
      </c>
    </row>
    <row r="240" spans="1:40">
      <c r="A240" s="15">
        <v>38250</v>
      </c>
      <c r="B240" t="s">
        <v>63</v>
      </c>
      <c r="C240">
        <v>2.7</v>
      </c>
      <c r="D240" t="s">
        <v>55</v>
      </c>
      <c r="E240" t="s">
        <v>131</v>
      </c>
      <c r="F240">
        <v>2004</v>
      </c>
      <c r="G240" t="s">
        <v>16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f t="shared" si="6"/>
        <v>0</v>
      </c>
      <c r="AK240">
        <v>0</v>
      </c>
    </row>
    <row r="241" spans="1:40">
      <c r="A241" s="15">
        <v>38250</v>
      </c>
      <c r="B241" t="s">
        <v>59</v>
      </c>
      <c r="C241">
        <v>2</v>
      </c>
      <c r="D241" t="s">
        <v>138</v>
      </c>
      <c r="E241" t="s">
        <v>115</v>
      </c>
      <c r="F241">
        <v>2004</v>
      </c>
      <c r="G241" t="s">
        <v>16</v>
      </c>
      <c r="H241">
        <v>1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f t="shared" si="6"/>
        <v>1</v>
      </c>
      <c r="AK241">
        <v>1</v>
      </c>
      <c r="AL241" s="23">
        <v>2.6</v>
      </c>
    </row>
    <row r="242" spans="1:40">
      <c r="A242" s="15">
        <v>38251</v>
      </c>
      <c r="B242" t="s">
        <v>61</v>
      </c>
      <c r="C242">
        <v>24.5</v>
      </c>
      <c r="D242" t="s">
        <v>55</v>
      </c>
      <c r="E242" t="s">
        <v>131</v>
      </c>
      <c r="F242">
        <v>2004</v>
      </c>
      <c r="G242" t="s">
        <v>16</v>
      </c>
      <c r="H242">
        <v>82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f t="shared" si="6"/>
        <v>82</v>
      </c>
      <c r="AK242">
        <v>1</v>
      </c>
      <c r="AL242" s="23">
        <v>2.8</v>
      </c>
    </row>
    <row r="243" spans="1:40">
      <c r="A243" s="15">
        <v>38251</v>
      </c>
      <c r="B243" t="s">
        <v>63</v>
      </c>
      <c r="C243">
        <v>24.5</v>
      </c>
      <c r="D243" t="s">
        <v>55</v>
      </c>
      <c r="E243" t="s">
        <v>131</v>
      </c>
      <c r="F243">
        <v>2004</v>
      </c>
      <c r="G243" t="s">
        <v>16</v>
      </c>
      <c r="H243">
        <v>127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f t="shared" si="6"/>
        <v>127</v>
      </c>
      <c r="AK243">
        <v>1</v>
      </c>
      <c r="AL243" s="23">
        <v>1.7</v>
      </c>
    </row>
    <row r="244" spans="1:40">
      <c r="A244" s="15">
        <v>38251</v>
      </c>
      <c r="B244" t="s">
        <v>62</v>
      </c>
      <c r="C244">
        <v>24.5</v>
      </c>
      <c r="D244" t="s">
        <v>56</v>
      </c>
      <c r="E244" t="s">
        <v>130</v>
      </c>
      <c r="F244">
        <v>2004</v>
      </c>
      <c r="G244" t="s">
        <v>16</v>
      </c>
      <c r="H244">
        <v>42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f t="shared" si="6"/>
        <v>42</v>
      </c>
      <c r="AK244">
        <v>1</v>
      </c>
      <c r="AL244" s="23">
        <v>1.2</v>
      </c>
    </row>
    <row r="245" spans="1:40">
      <c r="A245" s="15">
        <v>38251</v>
      </c>
      <c r="B245" t="s">
        <v>59</v>
      </c>
      <c r="C245">
        <v>18.5</v>
      </c>
      <c r="D245" t="s">
        <v>138</v>
      </c>
      <c r="E245" t="s">
        <v>115</v>
      </c>
      <c r="F245">
        <v>2004</v>
      </c>
      <c r="G245" t="s">
        <v>16</v>
      </c>
      <c r="H245">
        <v>106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f t="shared" si="6"/>
        <v>106</v>
      </c>
      <c r="AK245">
        <v>1</v>
      </c>
      <c r="AL245" s="23">
        <v>1.9</v>
      </c>
    </row>
    <row r="246" spans="1:40">
      <c r="A246" s="15">
        <v>38253</v>
      </c>
      <c r="B246" t="s">
        <v>61</v>
      </c>
      <c r="C246">
        <v>16</v>
      </c>
      <c r="D246" t="s">
        <v>55</v>
      </c>
      <c r="E246" t="s">
        <v>131</v>
      </c>
      <c r="F246">
        <v>2004</v>
      </c>
      <c r="G246" t="s">
        <v>16</v>
      </c>
      <c r="H246">
        <v>126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f t="shared" si="6"/>
        <v>126</v>
      </c>
      <c r="AK246">
        <v>1</v>
      </c>
      <c r="AL246" s="23">
        <v>2.8</v>
      </c>
    </row>
    <row r="247" spans="1:40">
      <c r="A247" s="15">
        <v>38253</v>
      </c>
      <c r="B247" t="s">
        <v>63</v>
      </c>
      <c r="C247">
        <v>14</v>
      </c>
      <c r="D247" t="s">
        <v>55</v>
      </c>
      <c r="E247" t="s">
        <v>131</v>
      </c>
      <c r="F247">
        <v>2004</v>
      </c>
      <c r="G247" t="s">
        <v>16</v>
      </c>
      <c r="H247">
        <v>147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f t="shared" si="6"/>
        <v>147</v>
      </c>
      <c r="AK247">
        <v>1</v>
      </c>
      <c r="AL247" s="23">
        <v>2.7</v>
      </c>
    </row>
    <row r="248" spans="1:40">
      <c r="A248" s="15">
        <v>38253</v>
      </c>
      <c r="B248" t="s">
        <v>62</v>
      </c>
      <c r="C248">
        <v>14</v>
      </c>
      <c r="D248" t="s">
        <v>56</v>
      </c>
      <c r="E248" t="s">
        <v>130</v>
      </c>
      <c r="F248">
        <v>2004</v>
      </c>
      <c r="G248" t="s">
        <v>16</v>
      </c>
      <c r="H248">
        <v>48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f t="shared" si="6"/>
        <v>48</v>
      </c>
      <c r="AK248">
        <v>1</v>
      </c>
      <c r="AL248" s="23">
        <v>1.1000000000000001</v>
      </c>
    </row>
    <row r="249" spans="1:40">
      <c r="A249" s="15">
        <v>38253</v>
      </c>
      <c r="B249" t="s">
        <v>59</v>
      </c>
      <c r="C249">
        <v>14</v>
      </c>
      <c r="D249" t="s">
        <v>138</v>
      </c>
      <c r="E249" t="s">
        <v>115</v>
      </c>
      <c r="F249">
        <v>2004</v>
      </c>
      <c r="G249" t="s">
        <v>16</v>
      </c>
      <c r="H249">
        <v>99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f t="shared" si="6"/>
        <v>99</v>
      </c>
      <c r="AK249">
        <v>1</v>
      </c>
      <c r="AL249" s="23">
        <v>1.7</v>
      </c>
    </row>
    <row r="250" spans="1:40">
      <c r="A250" s="15">
        <v>38254</v>
      </c>
      <c r="B250" t="s">
        <v>61</v>
      </c>
      <c r="C250">
        <v>17.5</v>
      </c>
      <c r="D250" t="s">
        <v>55</v>
      </c>
      <c r="E250" t="s">
        <v>131</v>
      </c>
      <c r="F250">
        <v>2004</v>
      </c>
      <c r="G250" t="s">
        <v>16</v>
      </c>
      <c r="H250">
        <v>15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27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1</v>
      </c>
      <c r="AH250">
        <v>0</v>
      </c>
      <c r="AI250">
        <v>0</v>
      </c>
      <c r="AJ250">
        <f t="shared" si="6"/>
        <v>43</v>
      </c>
      <c r="AK250">
        <v>3</v>
      </c>
      <c r="AL250" s="23">
        <v>3</v>
      </c>
      <c r="AN250">
        <v>4.5999999999999996</v>
      </c>
    </row>
    <row r="251" spans="1:40">
      <c r="A251" s="15">
        <v>38254</v>
      </c>
      <c r="B251" t="s">
        <v>63</v>
      </c>
      <c r="C251">
        <v>17.5</v>
      </c>
      <c r="D251" t="s">
        <v>55</v>
      </c>
      <c r="E251" t="s">
        <v>131</v>
      </c>
      <c r="F251">
        <v>2004</v>
      </c>
      <c r="G251" t="s">
        <v>16</v>
      </c>
      <c r="H251">
        <v>34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f t="shared" si="6"/>
        <v>34</v>
      </c>
      <c r="AK251">
        <v>2</v>
      </c>
      <c r="AL251" s="23">
        <v>2.4</v>
      </c>
    </row>
    <row r="252" spans="1:40">
      <c r="A252" s="15">
        <v>38254</v>
      </c>
      <c r="B252" t="s">
        <v>62</v>
      </c>
      <c r="C252">
        <v>17.5</v>
      </c>
      <c r="D252" t="s">
        <v>56</v>
      </c>
      <c r="E252" t="s">
        <v>130</v>
      </c>
      <c r="F252">
        <v>2004</v>
      </c>
      <c r="G252" t="s">
        <v>16</v>
      </c>
      <c r="H252">
        <v>16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f t="shared" si="6"/>
        <v>16</v>
      </c>
      <c r="AK252">
        <v>1</v>
      </c>
      <c r="AL252" s="23">
        <v>2</v>
      </c>
    </row>
    <row r="253" spans="1:40">
      <c r="A253" s="15">
        <v>38254</v>
      </c>
      <c r="B253" t="s">
        <v>59</v>
      </c>
      <c r="C253">
        <v>17.5</v>
      </c>
      <c r="D253" t="s">
        <v>138</v>
      </c>
      <c r="E253" t="s">
        <v>115</v>
      </c>
      <c r="F253">
        <v>2004</v>
      </c>
      <c r="G253" t="s">
        <v>16</v>
      </c>
      <c r="H253">
        <v>219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f t="shared" si="6"/>
        <v>219</v>
      </c>
      <c r="AK253">
        <v>1</v>
      </c>
      <c r="AL253" s="23">
        <v>2</v>
      </c>
    </row>
    <row r="254" spans="1:40">
      <c r="A254" s="15">
        <v>38509</v>
      </c>
      <c r="B254" t="s">
        <v>59</v>
      </c>
      <c r="C254">
        <v>0.66</v>
      </c>
      <c r="D254" t="s">
        <v>138</v>
      </c>
      <c r="E254" t="s">
        <v>115</v>
      </c>
      <c r="F254">
        <v>2005</v>
      </c>
      <c r="G254" t="s">
        <v>15</v>
      </c>
      <c r="H254">
        <v>104</v>
      </c>
      <c r="I254">
        <v>0</v>
      </c>
      <c r="J254">
        <v>0</v>
      </c>
      <c r="K254">
        <v>0</v>
      </c>
      <c r="L254"/>
      <c r="M254"/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f t="shared" si="6"/>
        <v>104</v>
      </c>
      <c r="AK254">
        <v>1</v>
      </c>
      <c r="AL254" s="23">
        <f>390/104</f>
        <v>3.75</v>
      </c>
    </row>
    <row r="255" spans="1:40">
      <c r="A255" s="15">
        <v>38509</v>
      </c>
      <c r="B255" t="s">
        <v>58</v>
      </c>
      <c r="C255">
        <v>1.33</v>
      </c>
      <c r="D255" t="s">
        <v>138</v>
      </c>
      <c r="E255" t="s">
        <v>115</v>
      </c>
      <c r="F255">
        <v>2005</v>
      </c>
      <c r="G255" t="s">
        <v>15</v>
      </c>
      <c r="H255">
        <v>0</v>
      </c>
      <c r="I255">
        <v>0</v>
      </c>
      <c r="J255">
        <v>1</v>
      </c>
      <c r="K255">
        <v>0</v>
      </c>
      <c r="L255"/>
      <c r="M255"/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f t="shared" si="6"/>
        <v>1</v>
      </c>
      <c r="AK255">
        <v>1</v>
      </c>
      <c r="AL255" s="23">
        <v>0</v>
      </c>
    </row>
    <row r="256" spans="1:40">
      <c r="A256" s="15">
        <v>38510</v>
      </c>
      <c r="B256" t="s">
        <v>59</v>
      </c>
      <c r="C256">
        <v>19.5</v>
      </c>
      <c r="D256" t="s">
        <v>138</v>
      </c>
      <c r="E256" t="s">
        <v>115</v>
      </c>
      <c r="F256">
        <v>2005</v>
      </c>
      <c r="G256" t="s">
        <v>15</v>
      </c>
      <c r="H256">
        <v>171</v>
      </c>
      <c r="I256">
        <v>0</v>
      </c>
      <c r="J256">
        <v>0</v>
      </c>
      <c r="K256">
        <v>0</v>
      </c>
      <c r="L256"/>
      <c r="M256"/>
      <c r="Q256">
        <v>0</v>
      </c>
      <c r="R256">
        <v>0</v>
      </c>
      <c r="S256">
        <v>1</v>
      </c>
      <c r="T256">
        <v>0</v>
      </c>
      <c r="U256">
        <v>1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f t="shared" si="6"/>
        <v>173</v>
      </c>
      <c r="AK256">
        <v>3</v>
      </c>
      <c r="AL256" s="23">
        <f>520/171</f>
        <v>3.0409356725146197</v>
      </c>
      <c r="AM256">
        <v>5</v>
      </c>
    </row>
    <row r="257" spans="1:41">
      <c r="A257" s="15">
        <v>38510</v>
      </c>
      <c r="B257" t="s">
        <v>58</v>
      </c>
      <c r="C257">
        <v>19.5</v>
      </c>
      <c r="D257" t="s">
        <v>138</v>
      </c>
      <c r="E257" t="s">
        <v>115</v>
      </c>
      <c r="F257">
        <v>2005</v>
      </c>
      <c r="G257" t="s">
        <v>15</v>
      </c>
      <c r="H257">
        <v>180</v>
      </c>
      <c r="I257">
        <v>0</v>
      </c>
      <c r="J257">
        <v>0</v>
      </c>
      <c r="K257">
        <v>0</v>
      </c>
      <c r="L257"/>
      <c r="M257"/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f t="shared" si="6"/>
        <v>180</v>
      </c>
      <c r="AK257">
        <v>1</v>
      </c>
      <c r="AL257" s="23">
        <f>690/180</f>
        <v>3.8333333333333335</v>
      </c>
    </row>
    <row r="258" spans="1:41">
      <c r="A258" s="15">
        <v>39607</v>
      </c>
      <c r="B258" t="s">
        <v>59</v>
      </c>
      <c r="C258">
        <v>2.16</v>
      </c>
      <c r="D258" t="s">
        <v>138</v>
      </c>
      <c r="E258" t="s">
        <v>115</v>
      </c>
      <c r="F258">
        <v>2005</v>
      </c>
      <c r="G258" t="s">
        <v>15</v>
      </c>
      <c r="H258">
        <v>23</v>
      </c>
      <c r="I258">
        <v>0</v>
      </c>
      <c r="J258">
        <v>1</v>
      </c>
      <c r="K258">
        <v>3</v>
      </c>
      <c r="L258"/>
      <c r="M258"/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f t="shared" si="6"/>
        <v>27</v>
      </c>
      <c r="AK258">
        <v>3</v>
      </c>
      <c r="AL258" s="23">
        <f>43/23</f>
        <v>1.8695652173913044</v>
      </c>
      <c r="AO258" t="s">
        <v>82</v>
      </c>
    </row>
    <row r="259" spans="1:41">
      <c r="A259" s="15">
        <v>38511</v>
      </c>
      <c r="B259" t="s">
        <v>58</v>
      </c>
      <c r="C259">
        <v>2.25</v>
      </c>
      <c r="D259" t="s">
        <v>138</v>
      </c>
      <c r="E259" t="s">
        <v>115</v>
      </c>
      <c r="F259">
        <v>2005</v>
      </c>
      <c r="G259" t="s">
        <v>15</v>
      </c>
      <c r="H259">
        <v>3</v>
      </c>
      <c r="I259">
        <v>0</v>
      </c>
      <c r="J259">
        <v>0</v>
      </c>
      <c r="K259">
        <v>0</v>
      </c>
      <c r="L259"/>
      <c r="M259"/>
      <c r="Q259">
        <v>0</v>
      </c>
      <c r="R259">
        <v>0</v>
      </c>
      <c r="S259">
        <v>1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f t="shared" si="6"/>
        <v>4</v>
      </c>
      <c r="AK259">
        <v>2</v>
      </c>
      <c r="AL259" s="23">
        <v>1</v>
      </c>
      <c r="AM259">
        <v>0.5</v>
      </c>
      <c r="AO259" t="s">
        <v>83</v>
      </c>
    </row>
    <row r="260" spans="1:41">
      <c r="A260" s="15">
        <v>38512</v>
      </c>
      <c r="B260" t="s">
        <v>59</v>
      </c>
      <c r="C260">
        <v>1.66</v>
      </c>
      <c r="D260" t="s">
        <v>138</v>
      </c>
      <c r="E260" t="s">
        <v>115</v>
      </c>
      <c r="F260">
        <v>2005</v>
      </c>
      <c r="G260" t="s">
        <v>15</v>
      </c>
      <c r="H260">
        <v>89</v>
      </c>
      <c r="I260">
        <v>0</v>
      </c>
      <c r="J260">
        <v>4</v>
      </c>
      <c r="K260">
        <v>1</v>
      </c>
      <c r="L260"/>
      <c r="M260"/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f>SUM(H260:AI260)</f>
        <v>94</v>
      </c>
      <c r="AK260">
        <v>3</v>
      </c>
      <c r="AL260" s="23">
        <f>280/89</f>
        <v>3.1460674157303372</v>
      </c>
    </row>
    <row r="261" spans="1:41">
      <c r="A261" s="15">
        <v>38512</v>
      </c>
      <c r="B261" t="s">
        <v>59</v>
      </c>
      <c r="C261">
        <v>2.25</v>
      </c>
      <c r="D261" t="s">
        <v>138</v>
      </c>
      <c r="E261" t="s">
        <v>115</v>
      </c>
      <c r="F261">
        <v>2005</v>
      </c>
      <c r="G261" t="s">
        <v>15</v>
      </c>
      <c r="H261">
        <v>73</v>
      </c>
      <c r="I261">
        <v>0</v>
      </c>
      <c r="J261">
        <v>0</v>
      </c>
      <c r="K261">
        <v>0</v>
      </c>
      <c r="L261"/>
      <c r="M261"/>
      <c r="Q261">
        <v>0</v>
      </c>
      <c r="R261">
        <v>0</v>
      </c>
      <c r="S261">
        <v>2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f t="shared" si="6"/>
        <v>75</v>
      </c>
      <c r="AK261">
        <v>2</v>
      </c>
      <c r="AL261" s="23">
        <f>200/73</f>
        <v>2.7397260273972601</v>
      </c>
      <c r="AO261" t="s">
        <v>84</v>
      </c>
    </row>
    <row r="262" spans="1:41">
      <c r="A262" s="15">
        <v>38512</v>
      </c>
      <c r="B262" t="s">
        <v>58</v>
      </c>
      <c r="C262">
        <v>2.25</v>
      </c>
      <c r="D262" t="s">
        <v>138</v>
      </c>
      <c r="E262" t="s">
        <v>115</v>
      </c>
      <c r="F262">
        <v>2005</v>
      </c>
      <c r="G262" t="s">
        <v>15</v>
      </c>
      <c r="H262">
        <v>0</v>
      </c>
      <c r="I262">
        <v>0</v>
      </c>
      <c r="J262">
        <v>0</v>
      </c>
      <c r="K262">
        <v>0</v>
      </c>
      <c r="L262"/>
      <c r="M262"/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</row>
    <row r="263" spans="1:41">
      <c r="A263" s="15">
        <v>38512</v>
      </c>
      <c r="B263" t="s">
        <v>59</v>
      </c>
      <c r="C263">
        <v>1.5</v>
      </c>
      <c r="D263" t="s">
        <v>138</v>
      </c>
      <c r="E263" t="s">
        <v>115</v>
      </c>
      <c r="F263">
        <v>2005</v>
      </c>
      <c r="G263" t="s">
        <v>15</v>
      </c>
      <c r="H263">
        <v>0</v>
      </c>
      <c r="I263">
        <v>0</v>
      </c>
      <c r="J263">
        <v>0</v>
      </c>
      <c r="K263">
        <v>0</v>
      </c>
      <c r="L263"/>
      <c r="M263"/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</row>
    <row r="264" spans="1:41">
      <c r="A264" s="15">
        <v>38512</v>
      </c>
      <c r="B264" t="s">
        <v>58</v>
      </c>
      <c r="C264">
        <v>1.5</v>
      </c>
      <c r="D264" t="s">
        <v>138</v>
      </c>
      <c r="E264" t="s">
        <v>115</v>
      </c>
      <c r="F264">
        <v>2005</v>
      </c>
      <c r="G264" t="s">
        <v>15</v>
      </c>
      <c r="H264">
        <v>0</v>
      </c>
      <c r="I264">
        <v>0</v>
      </c>
      <c r="J264">
        <v>0</v>
      </c>
      <c r="K264">
        <v>0</v>
      </c>
      <c r="L264"/>
      <c r="M264"/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</row>
    <row r="265" spans="1:41">
      <c r="A265" s="15">
        <v>38636</v>
      </c>
      <c r="B265" t="s">
        <v>63</v>
      </c>
      <c r="C265">
        <v>20</v>
      </c>
      <c r="D265" t="s">
        <v>55</v>
      </c>
      <c r="E265" t="s">
        <v>131</v>
      </c>
      <c r="F265">
        <v>2005</v>
      </c>
      <c r="G265" t="s">
        <v>16</v>
      </c>
      <c r="H265">
        <v>229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1</v>
      </c>
      <c r="AH265">
        <v>0</v>
      </c>
      <c r="AI265">
        <v>0</v>
      </c>
      <c r="AJ265">
        <f t="shared" si="6"/>
        <v>230</v>
      </c>
      <c r="AK265">
        <v>2</v>
      </c>
      <c r="AL265" s="23">
        <v>1.6</v>
      </c>
    </row>
    <row r="266" spans="1:41">
      <c r="A266" s="15">
        <v>38636</v>
      </c>
      <c r="B266" t="s">
        <v>62</v>
      </c>
      <c r="C266">
        <v>20</v>
      </c>
      <c r="D266" t="s">
        <v>56</v>
      </c>
      <c r="E266" t="s">
        <v>130</v>
      </c>
      <c r="F266">
        <v>2005</v>
      </c>
      <c r="G266" t="s">
        <v>16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</row>
    <row r="267" spans="1:41">
      <c r="A267" s="15">
        <v>38636</v>
      </c>
      <c r="B267" t="s">
        <v>59</v>
      </c>
      <c r="C267">
        <v>20</v>
      </c>
      <c r="D267" t="s">
        <v>138</v>
      </c>
      <c r="E267" t="s">
        <v>115</v>
      </c>
      <c r="F267">
        <v>2005</v>
      </c>
      <c r="G267" t="s">
        <v>16</v>
      </c>
      <c r="H267">
        <v>324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f t="shared" si="6"/>
        <v>324</v>
      </c>
      <c r="AK267">
        <v>1</v>
      </c>
      <c r="AL267" s="23">
        <v>1.7</v>
      </c>
    </row>
    <row r="268" spans="1:41">
      <c r="A268" s="15">
        <v>38636</v>
      </c>
      <c r="B268" t="s">
        <v>58</v>
      </c>
      <c r="C268">
        <v>20</v>
      </c>
      <c r="D268" t="s">
        <v>138</v>
      </c>
      <c r="E268" t="s">
        <v>115</v>
      </c>
      <c r="F268">
        <v>2005</v>
      </c>
      <c r="G268" t="s">
        <v>16</v>
      </c>
      <c r="H268">
        <v>428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f t="shared" si="6"/>
        <v>428</v>
      </c>
      <c r="AK268">
        <v>1</v>
      </c>
      <c r="AL268" s="23">
        <v>1.5</v>
      </c>
    </row>
    <row r="269" spans="1:41">
      <c r="A269" s="15">
        <v>38637</v>
      </c>
      <c r="B269" t="s">
        <v>63</v>
      </c>
      <c r="C269">
        <v>24</v>
      </c>
      <c r="D269" t="s">
        <v>55</v>
      </c>
      <c r="E269" t="s">
        <v>131</v>
      </c>
      <c r="F269">
        <v>2005</v>
      </c>
      <c r="G269" t="s">
        <v>16</v>
      </c>
      <c r="H269">
        <v>102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102</v>
      </c>
      <c r="AK269">
        <v>1</v>
      </c>
      <c r="AL269" s="23">
        <v>1.6</v>
      </c>
    </row>
    <row r="270" spans="1:41">
      <c r="A270" s="15">
        <v>38637</v>
      </c>
      <c r="B270" t="s">
        <v>62</v>
      </c>
      <c r="C270">
        <v>24</v>
      </c>
      <c r="D270" t="s">
        <v>56</v>
      </c>
      <c r="E270" t="s">
        <v>130</v>
      </c>
      <c r="F270">
        <v>2005</v>
      </c>
      <c r="G270" t="s">
        <v>16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</row>
    <row r="271" spans="1:41">
      <c r="A271" s="15">
        <v>38637</v>
      </c>
      <c r="B271" t="s">
        <v>59</v>
      </c>
      <c r="C271">
        <v>24</v>
      </c>
      <c r="D271" t="s">
        <v>138</v>
      </c>
      <c r="E271" t="s">
        <v>115</v>
      </c>
      <c r="F271">
        <v>2005</v>
      </c>
      <c r="G271" t="s">
        <v>16</v>
      </c>
      <c r="H271">
        <v>195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195</v>
      </c>
      <c r="AK271">
        <v>1</v>
      </c>
      <c r="AL271" s="23">
        <v>2.17</v>
      </c>
    </row>
    <row r="272" spans="1:41">
      <c r="A272" s="15">
        <v>38637</v>
      </c>
      <c r="B272" t="s">
        <v>58</v>
      </c>
      <c r="C272">
        <v>24</v>
      </c>
      <c r="D272" t="s">
        <v>138</v>
      </c>
      <c r="E272" t="s">
        <v>115</v>
      </c>
      <c r="F272">
        <v>2005</v>
      </c>
      <c r="G272" t="s">
        <v>16</v>
      </c>
      <c r="H272">
        <v>438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438</v>
      </c>
      <c r="AK272">
        <v>1</v>
      </c>
      <c r="AL272" s="23">
        <v>0.9</v>
      </c>
    </row>
    <row r="273" spans="1:38">
      <c r="A273" s="15">
        <v>38638</v>
      </c>
      <c r="B273" t="s">
        <v>63</v>
      </c>
      <c r="C273">
        <v>23.5</v>
      </c>
      <c r="D273" t="s">
        <v>55</v>
      </c>
      <c r="E273" t="s">
        <v>131</v>
      </c>
      <c r="F273">
        <v>2005</v>
      </c>
      <c r="G273" t="s">
        <v>16</v>
      </c>
      <c r="H273">
        <v>12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2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14</v>
      </c>
      <c r="AK273">
        <v>2</v>
      </c>
      <c r="AL273" s="23">
        <v>2.1</v>
      </c>
    </row>
    <row r="274" spans="1:38">
      <c r="A274" s="15">
        <v>38638</v>
      </c>
      <c r="B274" t="s">
        <v>62</v>
      </c>
      <c r="C274">
        <v>23.5</v>
      </c>
      <c r="D274" t="s">
        <v>56</v>
      </c>
      <c r="E274" t="s">
        <v>130</v>
      </c>
      <c r="F274">
        <v>2005</v>
      </c>
      <c r="G274" t="s">
        <v>16</v>
      </c>
      <c r="H274">
        <v>81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2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83</v>
      </c>
      <c r="AK274">
        <v>2</v>
      </c>
      <c r="AL274" s="23">
        <v>1.5</v>
      </c>
    </row>
    <row r="275" spans="1:38">
      <c r="A275" s="15">
        <v>38638</v>
      </c>
      <c r="B275" t="s">
        <v>59</v>
      </c>
      <c r="C275">
        <v>23.5</v>
      </c>
      <c r="D275" t="s">
        <v>138</v>
      </c>
      <c r="E275" t="s">
        <v>115</v>
      </c>
      <c r="F275">
        <v>2005</v>
      </c>
      <c r="G275" t="s">
        <v>16</v>
      </c>
      <c r="H275">
        <v>34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34</v>
      </c>
      <c r="AK275">
        <v>1</v>
      </c>
      <c r="AL275" s="23">
        <v>1.8</v>
      </c>
    </row>
    <row r="276" spans="1:38">
      <c r="A276" s="15">
        <v>38638</v>
      </c>
      <c r="B276" t="s">
        <v>58</v>
      </c>
      <c r="C276">
        <v>23.5</v>
      </c>
      <c r="D276" t="s">
        <v>138</v>
      </c>
      <c r="E276" t="s">
        <v>115</v>
      </c>
      <c r="F276">
        <v>2005</v>
      </c>
      <c r="G276" t="s">
        <v>16</v>
      </c>
      <c r="H276">
        <v>260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260</v>
      </c>
      <c r="AK276">
        <v>1</v>
      </c>
      <c r="AL276" s="23">
        <v>1.7</v>
      </c>
    </row>
    <row r="277" spans="1:38">
      <c r="A277" s="15">
        <v>38643</v>
      </c>
      <c r="B277" t="s">
        <v>63</v>
      </c>
      <c r="C277">
        <v>18</v>
      </c>
      <c r="D277" t="s">
        <v>55</v>
      </c>
      <c r="E277" t="s">
        <v>131</v>
      </c>
      <c r="F277">
        <v>2005</v>
      </c>
      <c r="G277" t="s">
        <v>16</v>
      </c>
      <c r="H277">
        <v>71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71</v>
      </c>
      <c r="AK277">
        <v>1</v>
      </c>
      <c r="AL277" s="23">
        <v>2</v>
      </c>
    </row>
    <row r="278" spans="1:38">
      <c r="A278" s="15">
        <v>38643</v>
      </c>
      <c r="B278" t="s">
        <v>62</v>
      </c>
      <c r="C278">
        <v>18</v>
      </c>
      <c r="D278" t="s">
        <v>56</v>
      </c>
      <c r="E278" t="s">
        <v>130</v>
      </c>
      <c r="F278">
        <v>2005</v>
      </c>
      <c r="G278" t="s">
        <v>16</v>
      </c>
      <c r="H278">
        <v>43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43</v>
      </c>
      <c r="AK278">
        <v>1</v>
      </c>
      <c r="AL278" s="23">
        <v>2.2999999999999998</v>
      </c>
    </row>
    <row r="279" spans="1:38">
      <c r="A279" s="15">
        <v>38643</v>
      </c>
      <c r="B279" t="s">
        <v>59</v>
      </c>
      <c r="C279">
        <v>18</v>
      </c>
      <c r="D279" t="s">
        <v>138</v>
      </c>
      <c r="E279" t="s">
        <v>115</v>
      </c>
      <c r="F279">
        <v>2005</v>
      </c>
      <c r="G279" t="s">
        <v>16</v>
      </c>
      <c r="H279">
        <v>186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186</v>
      </c>
      <c r="AK279">
        <v>1</v>
      </c>
    </row>
    <row r="280" spans="1:38">
      <c r="A280" s="15">
        <v>38643</v>
      </c>
      <c r="B280" t="s">
        <v>58</v>
      </c>
      <c r="C280">
        <v>18</v>
      </c>
      <c r="D280" t="s">
        <v>138</v>
      </c>
      <c r="E280" t="s">
        <v>115</v>
      </c>
      <c r="F280">
        <v>2005</v>
      </c>
      <c r="G280" t="s">
        <v>16</v>
      </c>
      <c r="H280">
        <v>297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297</v>
      </c>
      <c r="AK280">
        <v>1</v>
      </c>
      <c r="AL280" s="23">
        <v>2.7</v>
      </c>
    </row>
    <row r="281" spans="1:38">
      <c r="A281" s="15">
        <v>38644</v>
      </c>
      <c r="B281" t="s">
        <v>63</v>
      </c>
      <c r="C281">
        <v>24</v>
      </c>
      <c r="D281" t="s">
        <v>55</v>
      </c>
      <c r="E281" t="s">
        <v>131</v>
      </c>
      <c r="F281">
        <v>2005</v>
      </c>
      <c r="G281" t="s">
        <v>16</v>
      </c>
      <c r="H281">
        <v>116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116</v>
      </c>
      <c r="AK281">
        <v>1</v>
      </c>
      <c r="AL281" s="23">
        <v>2.2000000000000002</v>
      </c>
    </row>
    <row r="282" spans="1:38">
      <c r="A282" s="15">
        <v>38644</v>
      </c>
      <c r="B282" t="s">
        <v>62</v>
      </c>
      <c r="C282">
        <v>24</v>
      </c>
      <c r="D282" t="s">
        <v>56</v>
      </c>
      <c r="E282" t="s">
        <v>130</v>
      </c>
      <c r="F282">
        <v>2005</v>
      </c>
      <c r="G282" t="s">
        <v>16</v>
      </c>
      <c r="H282">
        <v>105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105</v>
      </c>
      <c r="AK282">
        <v>1</v>
      </c>
      <c r="AL282" s="23">
        <v>1.9</v>
      </c>
    </row>
    <row r="283" spans="1:38">
      <c r="A283" s="15">
        <v>38644</v>
      </c>
      <c r="B283" t="s">
        <v>59</v>
      </c>
      <c r="C283">
        <v>24</v>
      </c>
      <c r="D283" t="s">
        <v>138</v>
      </c>
      <c r="E283" t="s">
        <v>115</v>
      </c>
      <c r="F283">
        <v>2005</v>
      </c>
      <c r="G283" t="s">
        <v>16</v>
      </c>
      <c r="H283">
        <v>250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250</v>
      </c>
      <c r="AK283">
        <v>1</v>
      </c>
      <c r="AL283" s="23">
        <v>2.5</v>
      </c>
    </row>
    <row r="284" spans="1:38">
      <c r="A284" s="15">
        <v>38644</v>
      </c>
      <c r="B284" t="s">
        <v>58</v>
      </c>
      <c r="C284">
        <v>24</v>
      </c>
      <c r="D284" t="s">
        <v>138</v>
      </c>
      <c r="E284" t="s">
        <v>115</v>
      </c>
      <c r="F284">
        <v>2005</v>
      </c>
      <c r="G284" t="s">
        <v>16</v>
      </c>
      <c r="H284">
        <v>271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271</v>
      </c>
      <c r="AK284">
        <v>1</v>
      </c>
      <c r="AL284" s="23">
        <v>2.4</v>
      </c>
    </row>
    <row r="285" spans="1:38">
      <c r="A285" s="15">
        <v>38960</v>
      </c>
      <c r="B285" t="s">
        <v>3</v>
      </c>
      <c r="C285">
        <v>2.5</v>
      </c>
      <c r="D285" t="s">
        <v>57</v>
      </c>
      <c r="E285" t="s">
        <v>115</v>
      </c>
      <c r="F285">
        <v>2006</v>
      </c>
      <c r="G285" t="s">
        <v>108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</row>
    <row r="286" spans="1:38">
      <c r="A286" s="15">
        <v>38992</v>
      </c>
      <c r="B286" t="s">
        <v>63</v>
      </c>
      <c r="C286">
        <v>18</v>
      </c>
      <c r="D286" t="s">
        <v>55</v>
      </c>
      <c r="E286" t="s">
        <v>131</v>
      </c>
      <c r="F286">
        <v>2006</v>
      </c>
      <c r="G286" t="s">
        <v>16</v>
      </c>
      <c r="H286">
        <v>72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f>SUM(H286:AI286)</f>
        <v>72</v>
      </c>
      <c r="AK286">
        <v>1</v>
      </c>
      <c r="AL286" s="23">
        <f>185/72</f>
        <v>2.5694444444444446</v>
      </c>
    </row>
    <row r="287" spans="1:38">
      <c r="A287" s="15">
        <v>38992</v>
      </c>
      <c r="B287" t="s">
        <v>109</v>
      </c>
      <c r="C287">
        <v>18</v>
      </c>
      <c r="D287" t="s">
        <v>138</v>
      </c>
      <c r="E287" t="s">
        <v>115</v>
      </c>
      <c r="F287">
        <v>2006</v>
      </c>
      <c r="G287" t="s">
        <v>16</v>
      </c>
      <c r="H287">
        <v>172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f t="shared" ref="AJ287:AJ330" si="7">SUM(H287:AI287)</f>
        <v>172</v>
      </c>
      <c r="AK287">
        <v>1</v>
      </c>
      <c r="AL287" s="23">
        <f>355/172</f>
        <v>2.0639534883720931</v>
      </c>
    </row>
    <row r="288" spans="1:38">
      <c r="A288" s="15">
        <v>38992</v>
      </c>
      <c r="B288" t="s">
        <v>59</v>
      </c>
      <c r="C288">
        <v>18</v>
      </c>
      <c r="D288" t="s">
        <v>138</v>
      </c>
      <c r="E288" t="s">
        <v>115</v>
      </c>
      <c r="F288">
        <v>2006</v>
      </c>
      <c r="G288" t="s">
        <v>16</v>
      </c>
      <c r="H288">
        <v>0</v>
      </c>
      <c r="I288">
        <v>0</v>
      </c>
      <c r="J288">
        <v>0</v>
      </c>
      <c r="K288">
        <v>1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f t="shared" si="7"/>
        <v>1</v>
      </c>
      <c r="AK288">
        <v>1</v>
      </c>
      <c r="AL288" s="23">
        <v>1</v>
      </c>
    </row>
    <row r="289" spans="1:38">
      <c r="A289" s="15">
        <v>38992</v>
      </c>
      <c r="B289" t="s">
        <v>3</v>
      </c>
      <c r="C289">
        <v>18</v>
      </c>
      <c r="D289" t="s">
        <v>57</v>
      </c>
      <c r="E289" t="s">
        <v>115</v>
      </c>
      <c r="F289">
        <v>2006</v>
      </c>
      <c r="G289" t="s">
        <v>16</v>
      </c>
      <c r="H289">
        <v>307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f t="shared" si="7"/>
        <v>307</v>
      </c>
      <c r="AK289">
        <v>1</v>
      </c>
      <c r="AL289" s="23">
        <f>750/307</f>
        <v>2.44299674267101</v>
      </c>
    </row>
    <row r="290" spans="1:38" s="78" customFormat="1">
      <c r="A290" s="77">
        <v>39000</v>
      </c>
      <c r="B290" s="78" t="s">
        <v>63</v>
      </c>
      <c r="C290" s="78">
        <v>23</v>
      </c>
      <c r="D290" s="78" t="s">
        <v>55</v>
      </c>
      <c r="E290" s="78" t="s">
        <v>131</v>
      </c>
      <c r="F290" s="78">
        <v>2006</v>
      </c>
      <c r="G290" s="78" t="s">
        <v>16</v>
      </c>
      <c r="H290" s="78">
        <v>39</v>
      </c>
      <c r="I290" s="78">
        <v>0</v>
      </c>
      <c r="J290" s="78">
        <v>0</v>
      </c>
      <c r="K290" s="78">
        <v>0</v>
      </c>
      <c r="L290" s="78">
        <v>0</v>
      </c>
      <c r="M290" s="78">
        <v>0</v>
      </c>
      <c r="N290" s="78">
        <v>0</v>
      </c>
      <c r="O290" s="78">
        <v>0</v>
      </c>
      <c r="P290" s="78">
        <v>0</v>
      </c>
      <c r="Q290" s="78">
        <v>0</v>
      </c>
      <c r="R290" s="78">
        <v>0</v>
      </c>
      <c r="S290" s="78">
        <v>0</v>
      </c>
      <c r="T290" s="78">
        <v>0</v>
      </c>
      <c r="U290" s="78">
        <v>0</v>
      </c>
      <c r="V290" s="78">
        <v>0</v>
      </c>
      <c r="W290" s="78">
        <v>0</v>
      </c>
      <c r="X290" s="78">
        <v>0</v>
      </c>
      <c r="Y290" s="78">
        <v>0</v>
      </c>
      <c r="Z290" s="78">
        <v>0</v>
      </c>
      <c r="AA290" s="78">
        <v>0</v>
      </c>
      <c r="AB290" s="78">
        <v>0</v>
      </c>
      <c r="AC290" s="78">
        <v>0</v>
      </c>
      <c r="AD290" s="78">
        <v>0</v>
      </c>
      <c r="AE290" s="78">
        <v>0</v>
      </c>
      <c r="AF290" s="78">
        <v>0</v>
      </c>
      <c r="AG290" s="78">
        <v>1</v>
      </c>
      <c r="AH290" s="78">
        <v>0</v>
      </c>
      <c r="AI290" s="78">
        <v>0</v>
      </c>
      <c r="AJ290" s="78">
        <f t="shared" si="7"/>
        <v>40</v>
      </c>
      <c r="AK290" s="78">
        <v>2</v>
      </c>
      <c r="AL290" s="81">
        <f>105/36</f>
        <v>2.9166666666666665</v>
      </c>
    </row>
    <row r="291" spans="1:38">
      <c r="A291" s="15">
        <v>39000</v>
      </c>
      <c r="B291" t="s">
        <v>109</v>
      </c>
      <c r="C291">
        <v>23</v>
      </c>
      <c r="D291" t="s">
        <v>138</v>
      </c>
      <c r="E291" t="s">
        <v>115</v>
      </c>
      <c r="F291">
        <v>2006</v>
      </c>
      <c r="G291" t="s">
        <v>16</v>
      </c>
      <c r="H291">
        <v>44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f t="shared" si="7"/>
        <v>44</v>
      </c>
      <c r="AK291">
        <v>1</v>
      </c>
      <c r="AL291" s="23">
        <f>145/44</f>
        <v>3.2954545454545454</v>
      </c>
    </row>
    <row r="292" spans="1:38">
      <c r="A292" s="15">
        <v>39000</v>
      </c>
      <c r="B292" t="s">
        <v>59</v>
      </c>
      <c r="C292">
        <v>2</v>
      </c>
      <c r="D292" t="s">
        <v>138</v>
      </c>
      <c r="E292" t="s">
        <v>115</v>
      </c>
      <c r="F292">
        <v>2006</v>
      </c>
      <c r="G292" t="s">
        <v>16</v>
      </c>
      <c r="H292">
        <v>306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f t="shared" si="7"/>
        <v>306</v>
      </c>
      <c r="AK292">
        <v>1</v>
      </c>
      <c r="AL292" s="23">
        <f>610/306</f>
        <v>1.9934640522875817</v>
      </c>
    </row>
    <row r="293" spans="1:38">
      <c r="A293" s="15">
        <v>39000</v>
      </c>
      <c r="B293" t="s">
        <v>3</v>
      </c>
      <c r="C293">
        <v>23</v>
      </c>
      <c r="D293" t="s">
        <v>57</v>
      </c>
      <c r="E293" t="s">
        <v>115</v>
      </c>
      <c r="F293">
        <v>2006</v>
      </c>
      <c r="G293" t="s">
        <v>16</v>
      </c>
      <c r="H293">
        <v>278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f t="shared" si="7"/>
        <v>278</v>
      </c>
      <c r="AK293">
        <v>1</v>
      </c>
      <c r="AL293" s="23">
        <f>795/278</f>
        <v>2.8597122302158273</v>
      </c>
    </row>
    <row r="294" spans="1:38">
      <c r="A294" s="15">
        <v>39001</v>
      </c>
      <c r="B294" t="s">
        <v>63</v>
      </c>
      <c r="C294">
        <v>24</v>
      </c>
      <c r="D294" t="s">
        <v>55</v>
      </c>
      <c r="E294" t="s">
        <v>131</v>
      </c>
      <c r="F294">
        <v>2006</v>
      </c>
      <c r="G294" t="s">
        <v>16</v>
      </c>
      <c r="H294">
        <v>73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1</v>
      </c>
      <c r="AG294">
        <v>0</v>
      </c>
      <c r="AH294">
        <v>0</v>
      </c>
      <c r="AI294">
        <v>0</v>
      </c>
      <c r="AJ294">
        <f t="shared" si="7"/>
        <v>74</v>
      </c>
      <c r="AK294">
        <v>2</v>
      </c>
      <c r="AL294" s="23">
        <f>140/73</f>
        <v>1.9178082191780821</v>
      </c>
    </row>
    <row r="295" spans="1:38">
      <c r="A295" s="15">
        <v>39001</v>
      </c>
      <c r="B295" t="s">
        <v>109</v>
      </c>
      <c r="C295">
        <v>24</v>
      </c>
      <c r="D295" t="s">
        <v>138</v>
      </c>
      <c r="E295" t="s">
        <v>115</v>
      </c>
      <c r="F295">
        <v>2006</v>
      </c>
      <c r="G295" t="s">
        <v>16</v>
      </c>
      <c r="H295">
        <v>46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f t="shared" si="7"/>
        <v>46</v>
      </c>
      <c r="AK295">
        <v>1</v>
      </c>
      <c r="AL295" s="23">
        <f>175/46</f>
        <v>3.8043478260869565</v>
      </c>
    </row>
    <row r="296" spans="1:38">
      <c r="A296" s="15">
        <v>39001</v>
      </c>
      <c r="B296" t="s">
        <v>59</v>
      </c>
      <c r="C296">
        <v>22</v>
      </c>
      <c r="D296" t="s">
        <v>138</v>
      </c>
      <c r="E296" t="s">
        <v>115</v>
      </c>
      <c r="F296">
        <v>2006</v>
      </c>
      <c r="G296" t="s">
        <v>16</v>
      </c>
      <c r="H296">
        <v>328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f t="shared" si="7"/>
        <v>328</v>
      </c>
      <c r="AK296">
        <v>1</v>
      </c>
      <c r="AL296" s="23">
        <f>680/328</f>
        <v>2.0731707317073171</v>
      </c>
    </row>
    <row r="297" spans="1:38">
      <c r="A297" s="15">
        <v>39001</v>
      </c>
      <c r="B297" t="s">
        <v>3</v>
      </c>
      <c r="C297">
        <v>24</v>
      </c>
      <c r="D297" t="s">
        <v>57</v>
      </c>
      <c r="E297" t="s">
        <v>115</v>
      </c>
      <c r="F297">
        <v>2006</v>
      </c>
      <c r="G297" t="s">
        <v>16</v>
      </c>
      <c r="H297">
        <v>339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f t="shared" si="7"/>
        <v>339</v>
      </c>
      <c r="AK297">
        <v>1</v>
      </c>
      <c r="AL297" s="23">
        <f>850/339</f>
        <v>2.5073746312684366</v>
      </c>
    </row>
    <row r="298" spans="1:38">
      <c r="A298" s="15">
        <v>39003</v>
      </c>
      <c r="B298" t="s">
        <v>61</v>
      </c>
      <c r="C298">
        <v>22</v>
      </c>
      <c r="D298" t="s">
        <v>55</v>
      </c>
      <c r="E298" t="s">
        <v>131</v>
      </c>
      <c r="F298">
        <v>2006</v>
      </c>
      <c r="G298" t="s">
        <v>16</v>
      </c>
      <c r="H298">
        <v>404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2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f t="shared" si="7"/>
        <v>406</v>
      </c>
      <c r="AK298">
        <v>2</v>
      </c>
      <c r="AL298" s="23">
        <f>1182/404</f>
        <v>2.9257425742574257</v>
      </c>
    </row>
    <row r="299" spans="1:38">
      <c r="A299" s="15">
        <v>39003</v>
      </c>
      <c r="B299" t="s">
        <v>109</v>
      </c>
      <c r="C299">
        <v>22</v>
      </c>
      <c r="D299" t="s">
        <v>138</v>
      </c>
      <c r="E299" t="s">
        <v>115</v>
      </c>
      <c r="F299">
        <v>2006</v>
      </c>
      <c r="G299" t="s">
        <v>16</v>
      </c>
      <c r="H299">
        <v>34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f t="shared" si="7"/>
        <v>34</v>
      </c>
      <c r="AK299">
        <v>1</v>
      </c>
      <c r="AL299" s="23">
        <f>100/34</f>
        <v>2.9411764705882355</v>
      </c>
    </row>
    <row r="300" spans="1:38">
      <c r="A300" s="15">
        <v>39003</v>
      </c>
      <c r="B300" t="s">
        <v>59</v>
      </c>
      <c r="C300">
        <v>22</v>
      </c>
      <c r="D300" t="s">
        <v>138</v>
      </c>
      <c r="E300" t="s">
        <v>115</v>
      </c>
      <c r="F300">
        <v>2006</v>
      </c>
      <c r="G300" t="s">
        <v>16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f t="shared" si="7"/>
        <v>0</v>
      </c>
      <c r="AK300">
        <v>1</v>
      </c>
    </row>
    <row r="301" spans="1:38">
      <c r="A301" s="15">
        <v>39003</v>
      </c>
      <c r="B301" t="s">
        <v>3</v>
      </c>
      <c r="C301">
        <v>22</v>
      </c>
      <c r="D301" t="s">
        <v>57</v>
      </c>
      <c r="E301" t="s">
        <v>115</v>
      </c>
      <c r="F301">
        <v>2006</v>
      </c>
      <c r="G301" t="s">
        <v>16</v>
      </c>
      <c r="H301">
        <v>209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f t="shared" si="7"/>
        <v>209</v>
      </c>
      <c r="AK301">
        <v>1</v>
      </c>
      <c r="AL301" s="23">
        <f>600/209</f>
        <v>2.8708133971291865</v>
      </c>
    </row>
    <row r="302" spans="1:38">
      <c r="A302" s="15">
        <v>39357</v>
      </c>
      <c r="B302" t="s">
        <v>60</v>
      </c>
      <c r="C302">
        <v>24</v>
      </c>
      <c r="D302" t="s">
        <v>55</v>
      </c>
      <c r="E302" t="s">
        <v>131</v>
      </c>
      <c r="F302">
        <v>2007</v>
      </c>
      <c r="G302" t="s">
        <v>16</v>
      </c>
      <c r="H302">
        <v>97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1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f t="shared" si="7"/>
        <v>98</v>
      </c>
      <c r="AK302">
        <v>2</v>
      </c>
      <c r="AL302" s="23">
        <f>250/97</f>
        <v>2.5773195876288661</v>
      </c>
    </row>
    <row r="303" spans="1:38">
      <c r="A303" s="15">
        <v>39357</v>
      </c>
      <c r="B303" t="s">
        <v>62</v>
      </c>
      <c r="C303">
        <v>24</v>
      </c>
      <c r="D303" t="s">
        <v>56</v>
      </c>
      <c r="E303" t="s">
        <v>130</v>
      </c>
      <c r="F303">
        <v>2007</v>
      </c>
      <c r="G303" t="s">
        <v>16</v>
      </c>
      <c r="H303">
        <v>1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f t="shared" si="7"/>
        <v>1</v>
      </c>
      <c r="AK303">
        <v>1</v>
      </c>
      <c r="AL303" s="23">
        <v>2.5</v>
      </c>
    </row>
    <row r="304" spans="1:38">
      <c r="A304" s="15">
        <v>39357</v>
      </c>
      <c r="B304" t="s">
        <v>59</v>
      </c>
      <c r="C304">
        <v>24</v>
      </c>
      <c r="D304" t="s">
        <v>138</v>
      </c>
      <c r="E304" s="76" t="s">
        <v>135</v>
      </c>
      <c r="F304">
        <v>2007</v>
      </c>
      <c r="G304" t="s">
        <v>16</v>
      </c>
      <c r="H304">
        <v>112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f t="shared" si="7"/>
        <v>112</v>
      </c>
      <c r="AK304">
        <v>1</v>
      </c>
      <c r="AL304" s="23">
        <f>275/112</f>
        <v>2.4553571428571428</v>
      </c>
    </row>
    <row r="305" spans="1:38">
      <c r="A305" s="15">
        <v>39357</v>
      </c>
      <c r="B305" t="s">
        <v>58</v>
      </c>
      <c r="C305">
        <v>24</v>
      </c>
      <c r="D305" t="s">
        <v>138</v>
      </c>
      <c r="E305" s="76" t="s">
        <v>135</v>
      </c>
      <c r="F305">
        <v>2007</v>
      </c>
      <c r="G305" t="s">
        <v>16</v>
      </c>
      <c r="H305">
        <v>133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1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f t="shared" si="7"/>
        <v>134</v>
      </c>
      <c r="AK305">
        <v>2</v>
      </c>
      <c r="AL305" s="23">
        <f>420/133</f>
        <v>3.1578947368421053</v>
      </c>
    </row>
    <row r="306" spans="1:38">
      <c r="A306" s="15">
        <v>39358</v>
      </c>
      <c r="B306" t="s">
        <v>60</v>
      </c>
      <c r="C306">
        <v>24</v>
      </c>
      <c r="D306" t="s">
        <v>55</v>
      </c>
      <c r="E306" t="s">
        <v>131</v>
      </c>
      <c r="F306">
        <v>2007</v>
      </c>
      <c r="G306" t="s">
        <v>16</v>
      </c>
      <c r="H306">
        <v>96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f t="shared" si="7"/>
        <v>96</v>
      </c>
      <c r="AK306">
        <v>1</v>
      </c>
      <c r="AL306" s="23">
        <f>205/96</f>
        <v>2.1354166666666665</v>
      </c>
    </row>
    <row r="307" spans="1:38">
      <c r="A307" s="15">
        <v>39358</v>
      </c>
      <c r="B307" t="s">
        <v>62</v>
      </c>
      <c r="C307">
        <v>24</v>
      </c>
      <c r="D307" t="s">
        <v>56</v>
      </c>
      <c r="E307" t="s">
        <v>130</v>
      </c>
      <c r="F307">
        <v>2007</v>
      </c>
      <c r="G307" t="s">
        <v>16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f t="shared" si="7"/>
        <v>0</v>
      </c>
      <c r="AK307">
        <v>0</v>
      </c>
    </row>
    <row r="308" spans="1:38">
      <c r="A308" s="15">
        <v>39358</v>
      </c>
      <c r="B308" t="s">
        <v>59</v>
      </c>
      <c r="C308">
        <v>24</v>
      </c>
      <c r="D308" t="s">
        <v>138</v>
      </c>
      <c r="E308" s="76" t="s">
        <v>135</v>
      </c>
      <c r="F308">
        <v>2007</v>
      </c>
      <c r="G308" t="s">
        <v>16</v>
      </c>
      <c r="H308">
        <v>88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f t="shared" si="7"/>
        <v>88</v>
      </c>
      <c r="AK308">
        <v>1</v>
      </c>
      <c r="AL308" s="23">
        <f>145/88</f>
        <v>1.6477272727272727</v>
      </c>
    </row>
    <row r="309" spans="1:38">
      <c r="A309" s="15">
        <v>39358</v>
      </c>
      <c r="B309" t="s">
        <v>58</v>
      </c>
      <c r="C309">
        <v>24</v>
      </c>
      <c r="D309" t="s">
        <v>138</v>
      </c>
      <c r="E309" s="76" t="s">
        <v>135</v>
      </c>
      <c r="F309">
        <v>2007</v>
      </c>
      <c r="G309" t="s">
        <v>16</v>
      </c>
      <c r="H309">
        <v>172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f t="shared" si="7"/>
        <v>172</v>
      </c>
      <c r="AK309">
        <v>1</v>
      </c>
      <c r="AL309" s="23">
        <f>300/172</f>
        <v>1.7441860465116279</v>
      </c>
    </row>
    <row r="310" spans="1:38">
      <c r="A310" s="15">
        <v>39360</v>
      </c>
      <c r="B310" t="s">
        <v>61</v>
      </c>
      <c r="C310">
        <v>24</v>
      </c>
      <c r="D310" t="s">
        <v>55</v>
      </c>
      <c r="E310" t="s">
        <v>131</v>
      </c>
      <c r="F310">
        <v>2007</v>
      </c>
      <c r="G310" t="s">
        <v>16</v>
      </c>
      <c r="H310">
        <v>70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1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2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f t="shared" si="7"/>
        <v>73</v>
      </c>
      <c r="AK310">
        <v>3</v>
      </c>
      <c r="AL310" s="23">
        <f>190/70</f>
        <v>2.7142857142857144</v>
      </c>
    </row>
    <row r="311" spans="1:38">
      <c r="A311" s="15">
        <v>39360</v>
      </c>
      <c r="B311" t="s">
        <v>62</v>
      </c>
      <c r="C311">
        <v>24</v>
      </c>
      <c r="D311" t="s">
        <v>56</v>
      </c>
      <c r="E311" t="s">
        <v>130</v>
      </c>
      <c r="F311">
        <v>2007</v>
      </c>
      <c r="G311" t="s">
        <v>16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f t="shared" si="7"/>
        <v>0</v>
      </c>
      <c r="AK311">
        <v>0</v>
      </c>
    </row>
    <row r="312" spans="1:38">
      <c r="A312" s="15">
        <v>39360</v>
      </c>
      <c r="B312" t="s">
        <v>59</v>
      </c>
      <c r="C312">
        <v>24</v>
      </c>
      <c r="D312" t="s">
        <v>138</v>
      </c>
      <c r="E312" s="76" t="s">
        <v>135</v>
      </c>
      <c r="F312">
        <v>2007</v>
      </c>
      <c r="G312" t="s">
        <v>16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f t="shared" si="7"/>
        <v>0</v>
      </c>
      <c r="AK312">
        <v>0</v>
      </c>
    </row>
    <row r="313" spans="1:38">
      <c r="A313" s="15">
        <v>39360</v>
      </c>
      <c r="B313" t="s">
        <v>58</v>
      </c>
      <c r="C313">
        <v>24</v>
      </c>
      <c r="D313" t="s">
        <v>138</v>
      </c>
      <c r="E313" s="76" t="s">
        <v>135</v>
      </c>
      <c r="F313">
        <v>2007</v>
      </c>
      <c r="G313" t="s">
        <v>16</v>
      </c>
      <c r="H313">
        <v>8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1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f t="shared" si="7"/>
        <v>9</v>
      </c>
      <c r="AK313">
        <v>2</v>
      </c>
      <c r="AL313" s="23">
        <f>15/8</f>
        <v>1.875</v>
      </c>
    </row>
    <row r="314" spans="1:38">
      <c r="A314" s="15">
        <v>39727</v>
      </c>
      <c r="B314" t="s">
        <v>61</v>
      </c>
      <c r="C314">
        <v>21</v>
      </c>
      <c r="D314" t="s">
        <v>55</v>
      </c>
      <c r="E314" t="s">
        <v>131</v>
      </c>
      <c r="F314">
        <v>2008</v>
      </c>
      <c r="G314" t="s">
        <v>16</v>
      </c>
      <c r="H314">
        <v>116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f t="shared" si="7"/>
        <v>116</v>
      </c>
      <c r="AK314">
        <v>1</v>
      </c>
      <c r="AL314" s="23">
        <f>180/116</f>
        <v>1.5517241379310345</v>
      </c>
    </row>
    <row r="315" spans="1:38">
      <c r="A315" s="15">
        <v>39727</v>
      </c>
      <c r="B315" t="s">
        <v>62</v>
      </c>
      <c r="C315">
        <v>21</v>
      </c>
      <c r="D315" t="s">
        <v>56</v>
      </c>
      <c r="E315" t="s">
        <v>130</v>
      </c>
      <c r="F315">
        <v>2008</v>
      </c>
      <c r="G315" t="s">
        <v>16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f t="shared" si="7"/>
        <v>0</v>
      </c>
      <c r="AK315">
        <v>0</v>
      </c>
    </row>
    <row r="316" spans="1:38">
      <c r="A316" s="15">
        <v>39727</v>
      </c>
      <c r="B316" t="s">
        <v>59</v>
      </c>
      <c r="C316">
        <v>21</v>
      </c>
      <c r="D316" t="s">
        <v>138</v>
      </c>
      <c r="E316" s="76" t="s">
        <v>135</v>
      </c>
      <c r="F316">
        <v>2008</v>
      </c>
      <c r="G316" t="s">
        <v>16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f t="shared" si="7"/>
        <v>0</v>
      </c>
      <c r="AK316">
        <v>0</v>
      </c>
    </row>
    <row r="317" spans="1:38">
      <c r="A317" s="15">
        <v>39727</v>
      </c>
      <c r="B317" t="s">
        <v>109</v>
      </c>
      <c r="C317">
        <v>21</v>
      </c>
      <c r="D317" t="s">
        <v>138</v>
      </c>
      <c r="E317" s="76" t="s">
        <v>135</v>
      </c>
      <c r="F317">
        <v>2008</v>
      </c>
      <c r="G317" t="s">
        <v>16</v>
      </c>
      <c r="H317">
        <v>103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f t="shared" si="7"/>
        <v>103</v>
      </c>
      <c r="AK317">
        <v>1</v>
      </c>
      <c r="AL317" s="23">
        <f>170/103</f>
        <v>1.6504854368932038</v>
      </c>
    </row>
    <row r="318" spans="1:38">
      <c r="A318" s="15">
        <v>39728</v>
      </c>
      <c r="B318" t="s">
        <v>61</v>
      </c>
      <c r="C318">
        <v>24.5</v>
      </c>
      <c r="D318" t="s">
        <v>55</v>
      </c>
      <c r="E318" t="s">
        <v>131</v>
      </c>
      <c r="F318">
        <v>2008</v>
      </c>
      <c r="G318" t="s">
        <v>16</v>
      </c>
      <c r="H318">
        <v>31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f t="shared" si="7"/>
        <v>31</v>
      </c>
      <c r="AK318">
        <v>1</v>
      </c>
      <c r="AL318" s="23">
        <f>40/31</f>
        <v>1.2903225806451613</v>
      </c>
    </row>
    <row r="319" spans="1:38">
      <c r="A319" s="15">
        <v>39728</v>
      </c>
      <c r="B319" t="s">
        <v>62</v>
      </c>
      <c r="C319">
        <v>24.5</v>
      </c>
      <c r="D319" t="s">
        <v>56</v>
      </c>
      <c r="E319" t="s">
        <v>130</v>
      </c>
      <c r="F319">
        <v>2008</v>
      </c>
      <c r="G319" t="s">
        <v>16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f t="shared" si="7"/>
        <v>0</v>
      </c>
      <c r="AK319">
        <v>0</v>
      </c>
    </row>
    <row r="320" spans="1:38">
      <c r="A320" s="15">
        <v>39728</v>
      </c>
      <c r="B320" t="s">
        <v>59</v>
      </c>
      <c r="C320">
        <v>24.5</v>
      </c>
      <c r="D320" t="s">
        <v>138</v>
      </c>
      <c r="E320" s="76" t="s">
        <v>135</v>
      </c>
      <c r="F320">
        <v>2008</v>
      </c>
      <c r="G320" t="s">
        <v>16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f t="shared" si="7"/>
        <v>0</v>
      </c>
      <c r="AK320">
        <v>0</v>
      </c>
    </row>
    <row r="321" spans="1:40">
      <c r="A321" s="15">
        <v>39728</v>
      </c>
      <c r="B321" t="s">
        <v>109</v>
      </c>
      <c r="C321">
        <v>24.5</v>
      </c>
      <c r="D321" t="s">
        <v>138</v>
      </c>
      <c r="E321" s="76" t="s">
        <v>135</v>
      </c>
      <c r="F321">
        <v>2008</v>
      </c>
      <c r="G321" t="s">
        <v>16</v>
      </c>
      <c r="H321">
        <v>14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f t="shared" si="7"/>
        <v>14</v>
      </c>
      <c r="AK321">
        <v>1</v>
      </c>
      <c r="AL321" s="23">
        <f>20/14</f>
        <v>1.4285714285714286</v>
      </c>
    </row>
    <row r="322" spans="1:40">
      <c r="A322" s="15">
        <v>39729</v>
      </c>
      <c r="B322" t="s">
        <v>61</v>
      </c>
      <c r="C322">
        <v>24</v>
      </c>
      <c r="D322" t="s">
        <v>55</v>
      </c>
      <c r="E322" t="s">
        <v>131</v>
      </c>
      <c r="F322">
        <v>2008</v>
      </c>
      <c r="G322" t="s">
        <v>16</v>
      </c>
      <c r="H322">
        <v>53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1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f t="shared" si="7"/>
        <v>54</v>
      </c>
      <c r="AK322">
        <v>2</v>
      </c>
      <c r="AL322" s="23">
        <f>75/53</f>
        <v>1.4150943396226414</v>
      </c>
    </row>
    <row r="323" spans="1:40">
      <c r="A323" s="15">
        <v>39729</v>
      </c>
      <c r="B323" t="s">
        <v>62</v>
      </c>
      <c r="C323">
        <v>24</v>
      </c>
      <c r="D323" t="s">
        <v>56</v>
      </c>
      <c r="E323" t="s">
        <v>130</v>
      </c>
      <c r="F323">
        <v>2008</v>
      </c>
      <c r="G323" t="s">
        <v>16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1</v>
      </c>
      <c r="AJ323">
        <f t="shared" si="7"/>
        <v>1</v>
      </c>
      <c r="AK323">
        <v>1</v>
      </c>
    </row>
    <row r="324" spans="1:40">
      <c r="A324" s="15">
        <v>39729</v>
      </c>
      <c r="B324" t="s">
        <v>59</v>
      </c>
      <c r="C324">
        <v>24</v>
      </c>
      <c r="D324" t="s">
        <v>138</v>
      </c>
      <c r="E324" s="76" t="s">
        <v>135</v>
      </c>
      <c r="F324">
        <v>2008</v>
      </c>
      <c r="G324" t="s">
        <v>16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f t="shared" si="7"/>
        <v>0</v>
      </c>
      <c r="AK324">
        <v>0</v>
      </c>
    </row>
    <row r="325" spans="1:40">
      <c r="A325" s="15">
        <v>39729</v>
      </c>
      <c r="B325" t="s">
        <v>109</v>
      </c>
      <c r="C325">
        <v>24</v>
      </c>
      <c r="D325" t="s">
        <v>138</v>
      </c>
      <c r="E325" s="76" t="s">
        <v>135</v>
      </c>
      <c r="F325">
        <v>2008</v>
      </c>
      <c r="G325" t="s">
        <v>16</v>
      </c>
      <c r="H325">
        <v>14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f t="shared" si="7"/>
        <v>14</v>
      </c>
      <c r="AK325">
        <v>1</v>
      </c>
      <c r="AL325" s="23">
        <f>15/14</f>
        <v>1.0714285714285714</v>
      </c>
    </row>
    <row r="326" spans="1:40">
      <c r="A326" s="15">
        <v>39729</v>
      </c>
      <c r="B326" t="s">
        <v>58</v>
      </c>
      <c r="C326">
        <v>19.5</v>
      </c>
      <c r="D326" t="s">
        <v>138</v>
      </c>
      <c r="E326" s="76" t="s">
        <v>135</v>
      </c>
      <c r="F326">
        <v>2008</v>
      </c>
      <c r="G326" t="s">
        <v>16</v>
      </c>
      <c r="H326">
        <v>0</v>
      </c>
      <c r="I326">
        <v>0</v>
      </c>
      <c r="J326">
        <v>0</v>
      </c>
      <c r="K326">
        <v>1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f t="shared" si="7"/>
        <v>1</v>
      </c>
      <c r="AK326">
        <v>1</v>
      </c>
    </row>
    <row r="327" spans="1:40">
      <c r="A327" s="15">
        <v>39730</v>
      </c>
      <c r="B327" t="s">
        <v>61</v>
      </c>
      <c r="C327">
        <v>24</v>
      </c>
      <c r="D327" t="s">
        <v>55</v>
      </c>
      <c r="E327" t="s">
        <v>131</v>
      </c>
      <c r="F327">
        <v>2008</v>
      </c>
      <c r="G327" t="s">
        <v>16</v>
      </c>
      <c r="H327">
        <v>42</v>
      </c>
      <c r="I327">
        <v>0</v>
      </c>
      <c r="J327">
        <v>0</v>
      </c>
      <c r="K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f t="shared" si="7"/>
        <v>42</v>
      </c>
      <c r="AK327">
        <v>1</v>
      </c>
      <c r="AL327" s="23">
        <f>75/42</f>
        <v>1.7857142857142858</v>
      </c>
    </row>
    <row r="328" spans="1:40">
      <c r="A328" s="15">
        <v>39730</v>
      </c>
      <c r="B328" t="s">
        <v>59</v>
      </c>
      <c r="C328">
        <v>24</v>
      </c>
      <c r="D328" t="s">
        <v>138</v>
      </c>
      <c r="E328" s="76" t="s">
        <v>135</v>
      </c>
      <c r="F328">
        <v>2008</v>
      </c>
      <c r="G328" t="s">
        <v>16</v>
      </c>
      <c r="H328">
        <v>0</v>
      </c>
      <c r="I328">
        <v>0</v>
      </c>
      <c r="J328">
        <v>0</v>
      </c>
      <c r="K328">
        <v>2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f t="shared" si="7"/>
        <v>2</v>
      </c>
      <c r="AK328">
        <v>1</v>
      </c>
    </row>
    <row r="329" spans="1:40">
      <c r="A329" s="15">
        <v>39730</v>
      </c>
      <c r="B329" t="s">
        <v>109</v>
      </c>
      <c r="C329">
        <v>24</v>
      </c>
      <c r="D329" t="s">
        <v>138</v>
      </c>
      <c r="E329" s="76" t="s">
        <v>135</v>
      </c>
      <c r="F329">
        <v>2008</v>
      </c>
      <c r="G329" t="s">
        <v>16</v>
      </c>
      <c r="H329">
        <v>15</v>
      </c>
      <c r="I329">
        <v>0</v>
      </c>
      <c r="J329">
        <v>0</v>
      </c>
      <c r="K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f t="shared" si="7"/>
        <v>15</v>
      </c>
      <c r="AK329">
        <v>1</v>
      </c>
      <c r="AL329" s="23">
        <f>20/12</f>
        <v>1.6666666666666667</v>
      </c>
    </row>
    <row r="330" spans="1:40">
      <c r="A330" s="15">
        <v>39730</v>
      </c>
      <c r="B330" t="s">
        <v>58</v>
      </c>
      <c r="C330">
        <v>24</v>
      </c>
      <c r="D330" t="s">
        <v>138</v>
      </c>
      <c r="E330" s="76" t="s">
        <v>135</v>
      </c>
      <c r="F330">
        <v>2008</v>
      </c>
      <c r="G330" t="s">
        <v>16</v>
      </c>
      <c r="H330">
        <v>0</v>
      </c>
      <c r="I330">
        <v>0</v>
      </c>
      <c r="J330">
        <v>0</v>
      </c>
      <c r="K330">
        <v>6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2</v>
      </c>
      <c r="AG330">
        <v>0</v>
      </c>
      <c r="AH330">
        <v>0</v>
      </c>
      <c r="AI330">
        <v>0</v>
      </c>
      <c r="AJ330">
        <f t="shared" si="7"/>
        <v>8</v>
      </c>
      <c r="AK330">
        <v>2</v>
      </c>
    </row>
    <row r="331" spans="1:40">
      <c r="A331" s="15">
        <v>39765</v>
      </c>
      <c r="B331" t="s">
        <v>61</v>
      </c>
      <c r="C331">
        <v>22</v>
      </c>
      <c r="D331" t="s">
        <v>55</v>
      </c>
      <c r="E331" t="s">
        <v>131</v>
      </c>
      <c r="F331">
        <v>2008</v>
      </c>
      <c r="G331" t="s">
        <v>16</v>
      </c>
      <c r="H331">
        <v>1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1</v>
      </c>
      <c r="AK331">
        <v>1</v>
      </c>
      <c r="AL331" s="23">
        <v>2.5</v>
      </c>
    </row>
    <row r="332" spans="1:40">
      <c r="A332" s="15">
        <v>39765</v>
      </c>
      <c r="B332" t="s">
        <v>59</v>
      </c>
      <c r="C332">
        <v>20.5</v>
      </c>
      <c r="D332" t="s">
        <v>138</v>
      </c>
      <c r="E332" s="76" t="s">
        <v>135</v>
      </c>
      <c r="F332">
        <v>2008</v>
      </c>
      <c r="G332" t="s">
        <v>16</v>
      </c>
      <c r="H332">
        <v>1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0</v>
      </c>
      <c r="AI332">
        <v>0</v>
      </c>
      <c r="AJ332">
        <v>1</v>
      </c>
      <c r="AK332">
        <v>1</v>
      </c>
      <c r="AL332" s="23">
        <v>2</v>
      </c>
    </row>
    <row r="333" spans="1:40">
      <c r="A333" s="15">
        <v>39765</v>
      </c>
      <c r="B333" t="s">
        <v>58</v>
      </c>
      <c r="C333">
        <v>1</v>
      </c>
      <c r="D333" t="s">
        <v>138</v>
      </c>
      <c r="E333" s="76" t="s">
        <v>135</v>
      </c>
      <c r="F333">
        <v>2008</v>
      </c>
      <c r="G333" t="s">
        <v>16</v>
      </c>
      <c r="H333">
        <v>15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20</v>
      </c>
      <c r="AK333">
        <v>1</v>
      </c>
      <c r="AL333" s="23">
        <f>20/15</f>
        <v>1.3333333333333333</v>
      </c>
    </row>
    <row r="334" spans="1:40">
      <c r="A334" s="15">
        <v>40091</v>
      </c>
      <c r="B334" t="s">
        <v>61</v>
      </c>
      <c r="C334">
        <v>14.5</v>
      </c>
      <c r="D334" t="s">
        <v>55</v>
      </c>
      <c r="E334" t="s">
        <v>131</v>
      </c>
      <c r="F334">
        <v>2009</v>
      </c>
      <c r="G334" t="s">
        <v>16</v>
      </c>
      <c r="H334">
        <v>56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1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0</v>
      </c>
      <c r="AI334">
        <v>0</v>
      </c>
      <c r="AJ334">
        <f t="shared" ref="AJ334:AJ386" si="8">SUM(H334:AI334)</f>
        <v>57</v>
      </c>
      <c r="AK334">
        <v>2</v>
      </c>
      <c r="AL334" s="23">
        <f>245/56</f>
        <v>4.375</v>
      </c>
      <c r="AN334">
        <v>10</v>
      </c>
    </row>
    <row r="335" spans="1:40">
      <c r="A335" s="15">
        <v>40091</v>
      </c>
      <c r="B335" t="s">
        <v>62</v>
      </c>
      <c r="C335">
        <v>14.5</v>
      </c>
      <c r="D335" t="s">
        <v>56</v>
      </c>
      <c r="E335" t="s">
        <v>130</v>
      </c>
      <c r="F335">
        <v>2009</v>
      </c>
      <c r="G335" t="s">
        <v>16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f t="shared" si="8"/>
        <v>0</v>
      </c>
      <c r="AK335">
        <v>0</v>
      </c>
    </row>
    <row r="336" spans="1:40">
      <c r="A336" s="15">
        <v>40091</v>
      </c>
      <c r="B336" t="s">
        <v>59</v>
      </c>
      <c r="C336">
        <v>14.5</v>
      </c>
      <c r="D336" t="s">
        <v>138</v>
      </c>
      <c r="E336" s="76" t="s">
        <v>135</v>
      </c>
      <c r="F336">
        <v>2009</v>
      </c>
      <c r="G336" t="s">
        <v>16</v>
      </c>
      <c r="H336">
        <v>47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1</v>
      </c>
      <c r="AG336">
        <v>0</v>
      </c>
      <c r="AH336">
        <v>0</v>
      </c>
      <c r="AI336">
        <v>0</v>
      </c>
      <c r="AJ336">
        <f t="shared" si="8"/>
        <v>48</v>
      </c>
      <c r="AK336">
        <v>2</v>
      </c>
      <c r="AL336" s="23">
        <f>132/47</f>
        <v>2.8085106382978724</v>
      </c>
    </row>
    <row r="337" spans="1:40">
      <c r="A337" s="15">
        <v>40091</v>
      </c>
      <c r="B337" t="s">
        <v>58</v>
      </c>
      <c r="C337">
        <v>14.5</v>
      </c>
      <c r="D337" t="s">
        <v>138</v>
      </c>
      <c r="E337" s="76" t="s">
        <v>135</v>
      </c>
      <c r="F337">
        <v>2009</v>
      </c>
      <c r="G337" t="s">
        <v>16</v>
      </c>
      <c r="H337">
        <v>196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f t="shared" si="8"/>
        <v>196</v>
      </c>
      <c r="AK337">
        <v>1</v>
      </c>
      <c r="AL337" s="23">
        <f>398/196</f>
        <v>2.0306122448979593</v>
      </c>
    </row>
    <row r="338" spans="1:40">
      <c r="A338" s="15">
        <v>40092</v>
      </c>
      <c r="B338" t="s">
        <v>61</v>
      </c>
      <c r="C338">
        <v>24</v>
      </c>
      <c r="D338" t="s">
        <v>55</v>
      </c>
      <c r="E338" t="s">
        <v>131</v>
      </c>
      <c r="F338">
        <v>2009</v>
      </c>
      <c r="G338" t="s">
        <v>16</v>
      </c>
      <c r="H338">
        <v>78</v>
      </c>
      <c r="I338">
        <v>0</v>
      </c>
      <c r="J338">
        <v>0</v>
      </c>
      <c r="K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1</v>
      </c>
      <c r="Y338">
        <v>3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f t="shared" si="8"/>
        <v>82</v>
      </c>
      <c r="AK338">
        <v>3</v>
      </c>
      <c r="AL338" s="23">
        <f>205/78</f>
        <v>2.6282051282051282</v>
      </c>
      <c r="AN338">
        <f>35/3</f>
        <v>11.666666666666666</v>
      </c>
    </row>
    <row r="339" spans="1:40">
      <c r="A339" s="15">
        <v>40092</v>
      </c>
      <c r="B339" t="s">
        <v>62</v>
      </c>
      <c r="C339">
        <v>24</v>
      </c>
      <c r="D339" t="s">
        <v>56</v>
      </c>
      <c r="E339" t="s">
        <v>130</v>
      </c>
      <c r="F339">
        <v>2009</v>
      </c>
      <c r="G339" t="s">
        <v>16</v>
      </c>
      <c r="H339">
        <v>60</v>
      </c>
      <c r="I339">
        <v>0</v>
      </c>
      <c r="J339">
        <v>0</v>
      </c>
      <c r="K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f t="shared" si="8"/>
        <v>60</v>
      </c>
      <c r="AK339">
        <v>1</v>
      </c>
      <c r="AL339" s="23">
        <f>115/60</f>
        <v>1.9166666666666667</v>
      </c>
    </row>
    <row r="340" spans="1:40">
      <c r="A340" s="15">
        <v>40092</v>
      </c>
      <c r="B340" t="s">
        <v>59</v>
      </c>
      <c r="C340">
        <v>24</v>
      </c>
      <c r="D340" t="s">
        <v>138</v>
      </c>
      <c r="E340" s="76" t="s">
        <v>135</v>
      </c>
      <c r="F340">
        <v>2009</v>
      </c>
      <c r="G340" t="s">
        <v>16</v>
      </c>
      <c r="H340">
        <v>68</v>
      </c>
      <c r="I340">
        <v>0</v>
      </c>
      <c r="J340">
        <v>0</v>
      </c>
      <c r="K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f t="shared" si="8"/>
        <v>68</v>
      </c>
      <c r="AK340">
        <v>1</v>
      </c>
      <c r="AL340" s="23">
        <f>145/68</f>
        <v>2.1323529411764706</v>
      </c>
    </row>
    <row r="341" spans="1:40">
      <c r="A341" s="15">
        <v>40092</v>
      </c>
      <c r="B341" t="s">
        <v>58</v>
      </c>
      <c r="C341">
        <v>24</v>
      </c>
      <c r="D341" t="s">
        <v>138</v>
      </c>
      <c r="E341" s="76" t="s">
        <v>135</v>
      </c>
      <c r="F341">
        <v>2009</v>
      </c>
      <c r="G341" t="s">
        <v>16</v>
      </c>
      <c r="H341">
        <v>203</v>
      </c>
      <c r="I341">
        <v>0</v>
      </c>
      <c r="J341">
        <v>0</v>
      </c>
      <c r="K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f t="shared" si="8"/>
        <v>203</v>
      </c>
      <c r="AK341">
        <v>1</v>
      </c>
      <c r="AL341" s="23">
        <f>350/203</f>
        <v>1.7241379310344827</v>
      </c>
    </row>
    <row r="342" spans="1:40">
      <c r="A342" s="15">
        <v>40100</v>
      </c>
      <c r="B342" t="s">
        <v>61</v>
      </c>
      <c r="C342">
        <v>16</v>
      </c>
      <c r="D342" t="s">
        <v>55</v>
      </c>
      <c r="E342" t="s">
        <v>131</v>
      </c>
      <c r="F342">
        <v>2009</v>
      </c>
      <c r="G342" t="s">
        <v>16</v>
      </c>
      <c r="H342">
        <v>67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f t="shared" si="8"/>
        <v>67</v>
      </c>
      <c r="AK342">
        <v>1</v>
      </c>
      <c r="AL342" s="23">
        <f>125/67</f>
        <v>1.8656716417910448</v>
      </c>
    </row>
    <row r="343" spans="1:40">
      <c r="A343" s="15">
        <v>40100</v>
      </c>
      <c r="B343" t="s">
        <v>62</v>
      </c>
      <c r="C343">
        <v>16</v>
      </c>
      <c r="D343" t="s">
        <v>56</v>
      </c>
      <c r="E343" t="s">
        <v>130</v>
      </c>
      <c r="F343">
        <v>2009</v>
      </c>
      <c r="G343" t="s">
        <v>16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  <c r="AJ343">
        <f t="shared" si="8"/>
        <v>0</v>
      </c>
      <c r="AK343">
        <v>0</v>
      </c>
    </row>
    <row r="344" spans="1:40">
      <c r="A344" s="15">
        <v>40100</v>
      </c>
      <c r="B344" t="s">
        <v>59</v>
      </c>
      <c r="C344">
        <v>16</v>
      </c>
      <c r="D344" t="s">
        <v>138</v>
      </c>
      <c r="E344" s="76" t="s">
        <v>135</v>
      </c>
      <c r="F344">
        <v>2009</v>
      </c>
      <c r="G344" t="s">
        <v>16</v>
      </c>
      <c r="H344">
        <v>3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1</v>
      </c>
      <c r="AH344">
        <v>0</v>
      </c>
      <c r="AI344">
        <v>0</v>
      </c>
      <c r="AJ344">
        <f t="shared" si="8"/>
        <v>4</v>
      </c>
      <c r="AK344">
        <v>2</v>
      </c>
      <c r="AL344" s="23">
        <f>3.5/3</f>
        <v>1.1666666666666667</v>
      </c>
    </row>
    <row r="345" spans="1:40">
      <c r="A345" s="15">
        <v>40100</v>
      </c>
      <c r="B345" t="s">
        <v>58</v>
      </c>
      <c r="C345">
        <v>16</v>
      </c>
      <c r="D345" t="s">
        <v>138</v>
      </c>
      <c r="E345" s="76" t="s">
        <v>135</v>
      </c>
      <c r="F345">
        <v>2009</v>
      </c>
      <c r="G345" t="s">
        <v>16</v>
      </c>
      <c r="H345">
        <v>23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0</v>
      </c>
      <c r="AJ345">
        <f t="shared" si="8"/>
        <v>23</v>
      </c>
      <c r="AK345">
        <v>1</v>
      </c>
      <c r="AL345" s="23">
        <f>50/23</f>
        <v>2.1739130434782608</v>
      </c>
    </row>
    <row r="346" spans="1:40">
      <c r="A346" s="15">
        <v>40101</v>
      </c>
      <c r="B346" t="s">
        <v>61</v>
      </c>
      <c r="C346">
        <v>24</v>
      </c>
      <c r="D346" t="s">
        <v>55</v>
      </c>
      <c r="E346" t="s">
        <v>131</v>
      </c>
      <c r="F346">
        <v>2009</v>
      </c>
      <c r="G346" t="s">
        <v>16</v>
      </c>
      <c r="H346">
        <v>24</v>
      </c>
      <c r="I346">
        <v>0</v>
      </c>
      <c r="J346">
        <v>0</v>
      </c>
      <c r="K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2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  <c r="AJ346">
        <f t="shared" si="8"/>
        <v>26</v>
      </c>
      <c r="AK346">
        <v>2</v>
      </c>
      <c r="AL346" s="23">
        <f>85/24</f>
        <v>3.5416666666666665</v>
      </c>
    </row>
    <row r="347" spans="1:40">
      <c r="A347" s="15">
        <v>40101</v>
      </c>
      <c r="B347" t="s">
        <v>62</v>
      </c>
      <c r="C347">
        <v>24</v>
      </c>
      <c r="D347" t="s">
        <v>56</v>
      </c>
      <c r="E347" t="s">
        <v>130</v>
      </c>
      <c r="F347">
        <v>2009</v>
      </c>
      <c r="G347" t="s">
        <v>16</v>
      </c>
      <c r="H347">
        <v>2</v>
      </c>
      <c r="I347">
        <v>0</v>
      </c>
      <c r="J347">
        <v>0</v>
      </c>
      <c r="K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f t="shared" si="8"/>
        <v>2</v>
      </c>
      <c r="AK347">
        <v>1</v>
      </c>
      <c r="AL347" s="23">
        <v>3</v>
      </c>
    </row>
    <row r="348" spans="1:40">
      <c r="A348" s="15">
        <v>40101</v>
      </c>
      <c r="B348" t="s">
        <v>59</v>
      </c>
      <c r="C348">
        <v>24</v>
      </c>
      <c r="D348" t="s">
        <v>138</v>
      </c>
      <c r="E348" s="76" t="s">
        <v>135</v>
      </c>
      <c r="F348">
        <v>2009</v>
      </c>
      <c r="G348" t="s">
        <v>16</v>
      </c>
      <c r="H348">
        <v>47</v>
      </c>
      <c r="I348">
        <v>0</v>
      </c>
      <c r="J348">
        <v>0</v>
      </c>
      <c r="K348">
        <v>0</v>
      </c>
      <c r="Q348">
        <v>0</v>
      </c>
      <c r="R348">
        <v>0</v>
      </c>
      <c r="S348">
        <v>1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  <c r="AJ348">
        <f t="shared" si="8"/>
        <v>48</v>
      </c>
      <c r="AK348">
        <v>2</v>
      </c>
      <c r="AL348" s="23">
        <f>80/47</f>
        <v>1.7021276595744681</v>
      </c>
      <c r="AM348">
        <v>10</v>
      </c>
    </row>
    <row r="349" spans="1:40">
      <c r="A349" s="15">
        <v>40101</v>
      </c>
      <c r="B349" t="s">
        <v>58</v>
      </c>
      <c r="C349">
        <v>24</v>
      </c>
      <c r="D349" t="s">
        <v>138</v>
      </c>
      <c r="E349" s="76" t="s">
        <v>135</v>
      </c>
      <c r="F349">
        <v>2009</v>
      </c>
      <c r="G349" t="s">
        <v>16</v>
      </c>
      <c r="H349">
        <v>121</v>
      </c>
      <c r="I349">
        <v>0</v>
      </c>
      <c r="J349">
        <v>0</v>
      </c>
      <c r="K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0</v>
      </c>
      <c r="AJ349">
        <f t="shared" si="8"/>
        <v>121</v>
      </c>
      <c r="AK349">
        <v>1</v>
      </c>
      <c r="AL349" s="23">
        <f>275/121</f>
        <v>2.2727272727272729</v>
      </c>
    </row>
    <row r="350" spans="1:40">
      <c r="A350" s="15">
        <v>40463</v>
      </c>
      <c r="B350" t="s">
        <v>61</v>
      </c>
      <c r="C350">
        <v>19.5</v>
      </c>
      <c r="D350" t="s">
        <v>55</v>
      </c>
      <c r="E350" t="s">
        <v>129</v>
      </c>
      <c r="F350">
        <v>2010</v>
      </c>
      <c r="G350" t="s">
        <v>16</v>
      </c>
      <c r="H350">
        <v>81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2</v>
      </c>
      <c r="W350">
        <v>0</v>
      </c>
      <c r="X350">
        <v>0</v>
      </c>
      <c r="Y350">
        <v>1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1</v>
      </c>
      <c r="AH350">
        <v>0</v>
      </c>
      <c r="AI350">
        <v>0</v>
      </c>
      <c r="AJ350">
        <f t="shared" si="8"/>
        <v>85</v>
      </c>
      <c r="AK350">
        <v>4</v>
      </c>
      <c r="AL350" s="23">
        <v>2.16</v>
      </c>
      <c r="AN350">
        <v>5</v>
      </c>
    </row>
    <row r="351" spans="1:40">
      <c r="A351" s="15">
        <v>40463</v>
      </c>
      <c r="B351" t="s">
        <v>62</v>
      </c>
      <c r="C351">
        <v>19.5</v>
      </c>
      <c r="D351" t="s">
        <v>56</v>
      </c>
      <c r="E351" t="s">
        <v>129</v>
      </c>
      <c r="F351">
        <v>2010</v>
      </c>
      <c r="G351" t="s">
        <v>16</v>
      </c>
      <c r="H351">
        <v>216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  <c r="AJ351">
        <f t="shared" si="8"/>
        <v>216</v>
      </c>
      <c r="AK351">
        <v>1</v>
      </c>
      <c r="AL351" s="23">
        <v>1.8</v>
      </c>
    </row>
    <row r="352" spans="1:40">
      <c r="A352" s="15">
        <v>40463</v>
      </c>
      <c r="B352" t="s">
        <v>59</v>
      </c>
      <c r="C352">
        <v>19.5</v>
      </c>
      <c r="D352" t="s">
        <v>138</v>
      </c>
      <c r="E352" s="76" t="s">
        <v>135</v>
      </c>
      <c r="F352">
        <v>2010</v>
      </c>
      <c r="G352" t="s">
        <v>16</v>
      </c>
      <c r="H352">
        <v>89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2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0</v>
      </c>
      <c r="AJ352">
        <f t="shared" si="8"/>
        <v>91</v>
      </c>
      <c r="AK352">
        <v>2</v>
      </c>
      <c r="AL352" s="23">
        <v>1.8</v>
      </c>
      <c r="AN352" s="23">
        <v>2.5</v>
      </c>
    </row>
    <row r="353" spans="1:41">
      <c r="A353" s="15">
        <v>40463</v>
      </c>
      <c r="B353" t="s">
        <v>109</v>
      </c>
      <c r="C353">
        <v>19.5</v>
      </c>
      <c r="D353" t="s">
        <v>138</v>
      </c>
      <c r="E353" s="76" t="s">
        <v>135</v>
      </c>
      <c r="F353">
        <v>2010</v>
      </c>
      <c r="G353" t="s">
        <v>16</v>
      </c>
      <c r="H353">
        <v>123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0</v>
      </c>
      <c r="AJ353">
        <f t="shared" si="8"/>
        <v>123</v>
      </c>
      <c r="AK353">
        <v>1</v>
      </c>
      <c r="AL353" s="23">
        <v>2</v>
      </c>
    </row>
    <row r="354" spans="1:41">
      <c r="A354" s="15">
        <v>40464</v>
      </c>
      <c r="B354" t="s">
        <v>61</v>
      </c>
      <c r="C354">
        <v>24</v>
      </c>
      <c r="D354" t="s">
        <v>55</v>
      </c>
      <c r="E354" t="s">
        <v>129</v>
      </c>
      <c r="F354">
        <v>2010</v>
      </c>
      <c r="G354" t="s">
        <v>16</v>
      </c>
      <c r="H354">
        <v>106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1</v>
      </c>
      <c r="W354">
        <v>0</v>
      </c>
      <c r="X354">
        <v>0</v>
      </c>
      <c r="Y354">
        <v>1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f t="shared" si="8"/>
        <v>108</v>
      </c>
      <c r="AK354">
        <v>3</v>
      </c>
      <c r="AL354" s="23">
        <v>2</v>
      </c>
      <c r="AN354">
        <v>1</v>
      </c>
    </row>
    <row r="355" spans="1:41">
      <c r="A355" s="15">
        <v>40464</v>
      </c>
      <c r="B355" t="s">
        <v>62</v>
      </c>
      <c r="C355">
        <v>24</v>
      </c>
      <c r="D355" t="s">
        <v>56</v>
      </c>
      <c r="E355" t="s">
        <v>129</v>
      </c>
      <c r="F355">
        <v>2010</v>
      </c>
      <c r="G355" t="s">
        <v>16</v>
      </c>
      <c r="H355">
        <v>157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f t="shared" si="8"/>
        <v>157</v>
      </c>
      <c r="AK355">
        <v>1</v>
      </c>
      <c r="AL355" s="23">
        <v>2</v>
      </c>
    </row>
    <row r="356" spans="1:41">
      <c r="A356" s="15">
        <v>40464</v>
      </c>
      <c r="B356" t="s">
        <v>59</v>
      </c>
      <c r="C356">
        <v>24</v>
      </c>
      <c r="D356" t="s">
        <v>138</v>
      </c>
      <c r="E356" s="76" t="s">
        <v>135</v>
      </c>
      <c r="F356">
        <v>2010</v>
      </c>
      <c r="G356" t="s">
        <v>16</v>
      </c>
      <c r="H356">
        <v>137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f t="shared" si="8"/>
        <v>137</v>
      </c>
      <c r="AK356">
        <v>1</v>
      </c>
      <c r="AL356" s="23">
        <v>1.8</v>
      </c>
    </row>
    <row r="357" spans="1:41">
      <c r="A357" s="15">
        <v>40464</v>
      </c>
      <c r="B357" t="s">
        <v>58</v>
      </c>
      <c r="C357">
        <v>24</v>
      </c>
      <c r="D357" t="s">
        <v>138</v>
      </c>
      <c r="E357" s="76" t="s">
        <v>135</v>
      </c>
      <c r="F357">
        <v>2010</v>
      </c>
      <c r="G357" t="s">
        <v>16</v>
      </c>
      <c r="H357">
        <v>29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f t="shared" si="8"/>
        <v>29</v>
      </c>
      <c r="AK357">
        <v>1</v>
      </c>
      <c r="AL357" s="23">
        <v>2.4</v>
      </c>
    </row>
    <row r="358" spans="1:41">
      <c r="A358" s="15">
        <v>40465</v>
      </c>
      <c r="B358" t="s">
        <v>61</v>
      </c>
      <c r="C358">
        <v>24</v>
      </c>
      <c r="D358" t="s">
        <v>55</v>
      </c>
      <c r="E358" t="s">
        <v>129</v>
      </c>
      <c r="F358">
        <v>2010</v>
      </c>
      <c r="G358" t="s">
        <v>16</v>
      </c>
      <c r="H358">
        <v>87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2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0</v>
      </c>
      <c r="AI358">
        <v>0</v>
      </c>
      <c r="AJ358">
        <f t="shared" si="8"/>
        <v>89</v>
      </c>
      <c r="AK358">
        <v>2</v>
      </c>
      <c r="AL358" s="23">
        <v>1.72</v>
      </c>
    </row>
    <row r="359" spans="1:41">
      <c r="A359" s="15">
        <v>40465</v>
      </c>
      <c r="B359" t="s">
        <v>59</v>
      </c>
      <c r="C359">
        <v>24</v>
      </c>
      <c r="D359" t="s">
        <v>56</v>
      </c>
      <c r="E359" t="s">
        <v>129</v>
      </c>
      <c r="F359">
        <v>2010</v>
      </c>
      <c r="G359" t="s">
        <v>16</v>
      </c>
      <c r="H359">
        <v>39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0</v>
      </c>
      <c r="AI359">
        <v>0</v>
      </c>
      <c r="AJ359">
        <f t="shared" si="8"/>
        <v>39</v>
      </c>
      <c r="AK359">
        <v>1</v>
      </c>
      <c r="AL359" s="23">
        <v>1.54</v>
      </c>
    </row>
    <row r="360" spans="1:41">
      <c r="A360" s="15">
        <v>40465</v>
      </c>
      <c r="B360" t="s">
        <v>58</v>
      </c>
      <c r="C360">
        <v>24</v>
      </c>
      <c r="D360" t="s">
        <v>138</v>
      </c>
      <c r="E360" s="76" t="s">
        <v>135</v>
      </c>
      <c r="F360">
        <v>2010</v>
      </c>
      <c r="G360" t="s">
        <v>16</v>
      </c>
      <c r="H360">
        <v>87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2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0</v>
      </c>
      <c r="AJ360">
        <f t="shared" si="8"/>
        <v>89</v>
      </c>
      <c r="AK360">
        <v>2</v>
      </c>
      <c r="AL360" s="23">
        <v>1.7</v>
      </c>
    </row>
    <row r="361" spans="1:41">
      <c r="A361" s="15">
        <v>40465</v>
      </c>
      <c r="B361" t="s">
        <v>62</v>
      </c>
      <c r="C361">
        <v>24</v>
      </c>
      <c r="D361" t="s">
        <v>138</v>
      </c>
      <c r="E361" s="76" t="s">
        <v>135</v>
      </c>
      <c r="F361">
        <v>2010</v>
      </c>
      <c r="G361" t="s">
        <v>16</v>
      </c>
      <c r="H361">
        <v>35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0</v>
      </c>
      <c r="AI361">
        <v>0</v>
      </c>
      <c r="AJ361">
        <f t="shared" si="8"/>
        <v>35</v>
      </c>
      <c r="AK361">
        <v>1</v>
      </c>
      <c r="AL361" s="23">
        <v>2.14</v>
      </c>
    </row>
    <row r="362" spans="1:41">
      <c r="A362" s="15">
        <v>40479</v>
      </c>
      <c r="B362" t="s">
        <v>61</v>
      </c>
      <c r="C362">
        <v>25</v>
      </c>
      <c r="D362" t="s">
        <v>55</v>
      </c>
      <c r="E362" t="s">
        <v>129</v>
      </c>
      <c r="F362">
        <v>2010</v>
      </c>
      <c r="G362" t="s">
        <v>16</v>
      </c>
      <c r="H362">
        <v>67</v>
      </c>
      <c r="I362">
        <v>0</v>
      </c>
      <c r="J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1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0</v>
      </c>
      <c r="AJ362">
        <f t="shared" si="8"/>
        <v>68</v>
      </c>
      <c r="AK362">
        <v>2</v>
      </c>
      <c r="AL362" s="23">
        <v>1.79</v>
      </c>
    </row>
    <row r="363" spans="1:41">
      <c r="A363" s="15">
        <v>40479</v>
      </c>
      <c r="B363" t="s">
        <v>62</v>
      </c>
      <c r="C363">
        <v>25</v>
      </c>
      <c r="D363" t="s">
        <v>56</v>
      </c>
      <c r="E363" t="s">
        <v>129</v>
      </c>
      <c r="F363">
        <v>2010</v>
      </c>
      <c r="G363" t="s">
        <v>16</v>
      </c>
      <c r="H363">
        <v>192</v>
      </c>
      <c r="I363">
        <v>0</v>
      </c>
      <c r="J363">
        <v>0</v>
      </c>
      <c r="K363">
        <v>1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0</v>
      </c>
      <c r="AJ363">
        <f t="shared" si="8"/>
        <v>193</v>
      </c>
      <c r="AK363">
        <v>2</v>
      </c>
      <c r="AO363" t="s">
        <v>128</v>
      </c>
    </row>
    <row r="364" spans="1:41">
      <c r="A364" s="15">
        <v>40479</v>
      </c>
      <c r="B364" t="s">
        <v>59</v>
      </c>
      <c r="C364">
        <v>25</v>
      </c>
      <c r="D364" t="s">
        <v>138</v>
      </c>
      <c r="E364" s="76" t="s">
        <v>135</v>
      </c>
      <c r="F364">
        <v>2010</v>
      </c>
      <c r="G364" t="s">
        <v>16</v>
      </c>
      <c r="H364">
        <v>177</v>
      </c>
      <c r="I364">
        <v>1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f t="shared" si="8"/>
        <v>178</v>
      </c>
      <c r="AK364">
        <v>2</v>
      </c>
      <c r="AL364" s="23">
        <v>1.76</v>
      </c>
    </row>
    <row r="365" spans="1:41">
      <c r="A365" s="15">
        <v>40479</v>
      </c>
      <c r="B365" t="s">
        <v>58</v>
      </c>
      <c r="C365">
        <v>25</v>
      </c>
      <c r="D365" t="s">
        <v>138</v>
      </c>
      <c r="E365" s="76" t="s">
        <v>135</v>
      </c>
      <c r="F365">
        <v>2010</v>
      </c>
      <c r="G365" t="s">
        <v>16</v>
      </c>
      <c r="H365">
        <v>105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0</v>
      </c>
      <c r="AI365">
        <v>0</v>
      </c>
      <c r="AJ365">
        <f t="shared" si="8"/>
        <v>105</v>
      </c>
      <c r="AK365">
        <v>1</v>
      </c>
      <c r="AL365" s="23">
        <v>2.0299999999999998</v>
      </c>
    </row>
    <row r="366" spans="1:41">
      <c r="A366" s="15">
        <v>40805</v>
      </c>
      <c r="B366" t="s">
        <v>61</v>
      </c>
      <c r="C366">
        <v>22</v>
      </c>
      <c r="D366" t="s">
        <v>55</v>
      </c>
      <c r="E366" t="s">
        <v>129</v>
      </c>
      <c r="F366">
        <v>2011</v>
      </c>
      <c r="G366" t="s">
        <v>16</v>
      </c>
      <c r="H366">
        <v>96</v>
      </c>
      <c r="I366">
        <v>0</v>
      </c>
      <c r="J366">
        <v>0</v>
      </c>
      <c r="K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0</v>
      </c>
      <c r="AJ366">
        <f t="shared" si="8"/>
        <v>96</v>
      </c>
      <c r="AK366">
        <v>1</v>
      </c>
      <c r="AL366" s="23">
        <f>223/96</f>
        <v>2.3229166666666665</v>
      </c>
    </row>
    <row r="367" spans="1:41">
      <c r="A367" s="15">
        <v>40805</v>
      </c>
      <c r="B367" t="s">
        <v>62</v>
      </c>
      <c r="C367">
        <v>22</v>
      </c>
      <c r="D367" t="s">
        <v>56</v>
      </c>
      <c r="E367" t="s">
        <v>129</v>
      </c>
      <c r="F367">
        <v>2011</v>
      </c>
      <c r="G367" t="s">
        <v>16</v>
      </c>
      <c r="H367">
        <v>21</v>
      </c>
      <c r="I367">
        <v>0</v>
      </c>
      <c r="J367">
        <v>0</v>
      </c>
      <c r="K367">
        <v>1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1</v>
      </c>
      <c r="AH367">
        <v>0</v>
      </c>
      <c r="AI367">
        <v>0</v>
      </c>
      <c r="AJ367">
        <f t="shared" si="8"/>
        <v>23</v>
      </c>
      <c r="AK367">
        <v>3</v>
      </c>
      <c r="AL367" s="23">
        <f>25/21</f>
        <v>1.1904761904761905</v>
      </c>
    </row>
    <row r="368" spans="1:41">
      <c r="A368" s="15">
        <v>40805</v>
      </c>
      <c r="B368" t="s">
        <v>59</v>
      </c>
      <c r="C368">
        <v>22</v>
      </c>
      <c r="D368" t="s">
        <v>138</v>
      </c>
      <c r="E368" s="76" t="s">
        <v>135</v>
      </c>
      <c r="F368">
        <v>2011</v>
      </c>
      <c r="G368" t="s">
        <v>16</v>
      </c>
      <c r="H368">
        <v>0</v>
      </c>
      <c r="I368">
        <v>0</v>
      </c>
      <c r="J368">
        <v>0</v>
      </c>
      <c r="K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0</v>
      </c>
      <c r="AI368">
        <v>0</v>
      </c>
      <c r="AJ368">
        <f t="shared" si="8"/>
        <v>0</v>
      </c>
      <c r="AK368">
        <v>0</v>
      </c>
    </row>
    <row r="369" spans="1:40">
      <c r="A369" s="15">
        <v>40805</v>
      </c>
      <c r="B369" t="s">
        <v>3</v>
      </c>
      <c r="C369">
        <v>22</v>
      </c>
      <c r="D369" t="s">
        <v>57</v>
      </c>
      <c r="E369" s="76" t="s">
        <v>135</v>
      </c>
      <c r="F369">
        <v>2011</v>
      </c>
      <c r="G369" t="s">
        <v>16</v>
      </c>
      <c r="H369">
        <v>127</v>
      </c>
      <c r="I369">
        <v>0</v>
      </c>
      <c r="J369">
        <v>0</v>
      </c>
      <c r="K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0</v>
      </c>
      <c r="AJ369">
        <f t="shared" si="8"/>
        <v>127</v>
      </c>
      <c r="AK369">
        <v>1</v>
      </c>
      <c r="AL369" s="23">
        <f>220/127</f>
        <v>1.7322834645669292</v>
      </c>
    </row>
    <row r="370" spans="1:40">
      <c r="A370" s="15">
        <v>40809</v>
      </c>
      <c r="B370" t="s">
        <v>58</v>
      </c>
      <c r="C370">
        <v>16</v>
      </c>
      <c r="D370" t="s">
        <v>138</v>
      </c>
      <c r="E370" s="76" t="s">
        <v>135</v>
      </c>
      <c r="F370">
        <v>2011</v>
      </c>
      <c r="G370" t="s">
        <v>16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0</v>
      </c>
      <c r="AJ370">
        <v>0</v>
      </c>
      <c r="AK370">
        <v>0</v>
      </c>
    </row>
    <row r="371" spans="1:40">
      <c r="A371" s="15">
        <v>40809</v>
      </c>
      <c r="B371" t="s">
        <v>61</v>
      </c>
      <c r="C371">
        <v>16</v>
      </c>
      <c r="D371" t="s">
        <v>55</v>
      </c>
      <c r="E371" s="76" t="s">
        <v>135</v>
      </c>
      <c r="F371">
        <v>2011</v>
      </c>
      <c r="G371" t="s">
        <v>16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0</v>
      </c>
      <c r="AJ371">
        <v>0</v>
      </c>
      <c r="AK371">
        <v>0</v>
      </c>
    </row>
    <row r="372" spans="1:40">
      <c r="A372" s="15">
        <v>40809</v>
      </c>
      <c r="B372" t="s">
        <v>62</v>
      </c>
      <c r="C372">
        <v>16</v>
      </c>
      <c r="D372" t="s">
        <v>56</v>
      </c>
      <c r="E372" t="s">
        <v>129</v>
      </c>
      <c r="F372">
        <v>2011</v>
      </c>
      <c r="G372" t="s">
        <v>16</v>
      </c>
      <c r="H372">
        <v>18</v>
      </c>
      <c r="I372">
        <v>0</v>
      </c>
      <c r="J372">
        <v>0</v>
      </c>
      <c r="K372">
        <v>0</v>
      </c>
      <c r="Q372">
        <v>1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0</v>
      </c>
      <c r="AI372">
        <v>0</v>
      </c>
      <c r="AJ372">
        <f t="shared" si="8"/>
        <v>19</v>
      </c>
      <c r="AK372">
        <v>2</v>
      </c>
      <c r="AL372" s="23">
        <f>35/18</f>
        <v>1.9444444444444444</v>
      </c>
    </row>
    <row r="373" spans="1:40">
      <c r="A373" s="15">
        <v>40809</v>
      </c>
      <c r="B373" t="s">
        <v>59</v>
      </c>
      <c r="C373">
        <v>16</v>
      </c>
      <c r="D373" t="s">
        <v>138</v>
      </c>
      <c r="E373" s="76" t="s">
        <v>135</v>
      </c>
      <c r="F373">
        <v>2011</v>
      </c>
      <c r="G373" t="s">
        <v>16</v>
      </c>
      <c r="H373">
        <v>94</v>
      </c>
      <c r="I373">
        <v>0</v>
      </c>
      <c r="J373">
        <v>0</v>
      </c>
      <c r="K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0</v>
      </c>
      <c r="AJ373">
        <f t="shared" si="8"/>
        <v>94</v>
      </c>
      <c r="AK373">
        <v>1</v>
      </c>
      <c r="AL373" s="23">
        <f>285/94</f>
        <v>3.0319148936170213</v>
      </c>
    </row>
    <row r="374" spans="1:40">
      <c r="A374" s="15">
        <v>40819</v>
      </c>
      <c r="B374" t="s">
        <v>61</v>
      </c>
      <c r="C374">
        <v>22.5</v>
      </c>
      <c r="D374" t="s">
        <v>55</v>
      </c>
      <c r="E374" t="s">
        <v>129</v>
      </c>
      <c r="F374">
        <v>2011</v>
      </c>
      <c r="G374" t="s">
        <v>16</v>
      </c>
      <c r="H374">
        <v>68</v>
      </c>
      <c r="I374">
        <v>0</v>
      </c>
      <c r="J374">
        <v>0</v>
      </c>
      <c r="K374">
        <v>1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0</v>
      </c>
      <c r="AI374">
        <v>0</v>
      </c>
      <c r="AJ374">
        <f t="shared" si="8"/>
        <v>69</v>
      </c>
      <c r="AK374">
        <v>2</v>
      </c>
      <c r="AL374" s="23">
        <f>310/68</f>
        <v>4.5588235294117645</v>
      </c>
    </row>
    <row r="375" spans="1:40">
      <c r="A375" s="15">
        <v>40819</v>
      </c>
      <c r="B375" t="s">
        <v>62</v>
      </c>
      <c r="C375">
        <v>22.5</v>
      </c>
      <c r="D375" t="s">
        <v>56</v>
      </c>
      <c r="E375" t="s">
        <v>129</v>
      </c>
      <c r="F375">
        <v>2011</v>
      </c>
      <c r="G375" t="s">
        <v>16</v>
      </c>
      <c r="H375">
        <v>0</v>
      </c>
      <c r="I375">
        <v>0</v>
      </c>
      <c r="J375">
        <v>0</v>
      </c>
      <c r="K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0</v>
      </c>
      <c r="AI375">
        <v>0</v>
      </c>
      <c r="AJ375">
        <f t="shared" si="8"/>
        <v>0</v>
      </c>
      <c r="AK375">
        <v>0</v>
      </c>
    </row>
    <row r="376" spans="1:40">
      <c r="A376" s="15">
        <v>40819</v>
      </c>
      <c r="B376" t="s">
        <v>59</v>
      </c>
      <c r="C376">
        <v>22.5</v>
      </c>
      <c r="D376" t="s">
        <v>138</v>
      </c>
      <c r="E376" s="76" t="s">
        <v>135</v>
      </c>
      <c r="F376">
        <v>2011</v>
      </c>
      <c r="G376" t="s">
        <v>16</v>
      </c>
      <c r="H376">
        <v>182</v>
      </c>
      <c r="I376">
        <v>0</v>
      </c>
      <c r="J376">
        <v>0</v>
      </c>
      <c r="K376">
        <v>1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0</v>
      </c>
      <c r="AJ376">
        <f t="shared" si="8"/>
        <v>183</v>
      </c>
      <c r="AK376">
        <v>2</v>
      </c>
      <c r="AL376" s="23">
        <f>390/182</f>
        <v>2.1428571428571428</v>
      </c>
    </row>
    <row r="377" spans="1:40">
      <c r="A377" s="15">
        <v>40819</v>
      </c>
      <c r="B377" t="s">
        <v>58</v>
      </c>
      <c r="C377">
        <v>22.5</v>
      </c>
      <c r="D377" t="s">
        <v>138</v>
      </c>
      <c r="E377" s="76" t="s">
        <v>135</v>
      </c>
      <c r="F377">
        <v>2011</v>
      </c>
      <c r="G377" t="s">
        <v>16</v>
      </c>
      <c r="H377">
        <v>62</v>
      </c>
      <c r="I377">
        <v>0</v>
      </c>
      <c r="J377">
        <v>0</v>
      </c>
      <c r="K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f t="shared" si="8"/>
        <v>62</v>
      </c>
      <c r="AK377">
        <v>1</v>
      </c>
      <c r="AL377" s="23">
        <f>145/62</f>
        <v>2.338709677419355</v>
      </c>
    </row>
    <row r="378" spans="1:40">
      <c r="A378" s="15">
        <v>40823</v>
      </c>
      <c r="B378" t="s">
        <v>60</v>
      </c>
      <c r="C378">
        <v>16</v>
      </c>
      <c r="D378" t="s">
        <v>55</v>
      </c>
      <c r="E378" t="s">
        <v>129</v>
      </c>
      <c r="F378">
        <v>2011</v>
      </c>
      <c r="G378" t="s">
        <v>16</v>
      </c>
      <c r="H378">
        <v>97</v>
      </c>
      <c r="I378">
        <v>0</v>
      </c>
      <c r="J378">
        <v>0</v>
      </c>
      <c r="K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0</v>
      </c>
      <c r="AI378">
        <v>0</v>
      </c>
      <c r="AJ378">
        <f t="shared" si="8"/>
        <v>97</v>
      </c>
      <c r="AK378">
        <v>1</v>
      </c>
      <c r="AL378" s="23">
        <f>170/97</f>
        <v>1.7525773195876289</v>
      </c>
    </row>
    <row r="379" spans="1:40">
      <c r="A379" s="15">
        <v>40823</v>
      </c>
      <c r="B379" t="s">
        <v>62</v>
      </c>
      <c r="C379">
        <v>16</v>
      </c>
      <c r="D379" t="s">
        <v>56</v>
      </c>
      <c r="E379" t="s">
        <v>129</v>
      </c>
      <c r="F379">
        <v>2011</v>
      </c>
      <c r="G379" t="s">
        <v>16</v>
      </c>
      <c r="H379">
        <v>24</v>
      </c>
      <c r="I379">
        <v>0</v>
      </c>
      <c r="J379">
        <v>0</v>
      </c>
      <c r="K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0</v>
      </c>
      <c r="AI379">
        <v>0</v>
      </c>
      <c r="AJ379">
        <f t="shared" si="8"/>
        <v>24</v>
      </c>
      <c r="AK379">
        <v>1</v>
      </c>
      <c r="AL379" s="23">
        <f>55/24</f>
        <v>2.2916666666666665</v>
      </c>
    </row>
    <row r="380" spans="1:40">
      <c r="A380" s="15">
        <v>40823</v>
      </c>
      <c r="B380" t="s">
        <v>59</v>
      </c>
      <c r="C380">
        <v>16</v>
      </c>
      <c r="D380" t="s">
        <v>138</v>
      </c>
      <c r="E380" s="76" t="s">
        <v>135</v>
      </c>
      <c r="F380">
        <v>2011</v>
      </c>
      <c r="G380" t="s">
        <v>16</v>
      </c>
      <c r="H380">
        <v>0</v>
      </c>
      <c r="I380">
        <v>0</v>
      </c>
      <c r="J380">
        <v>0</v>
      </c>
      <c r="K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0</v>
      </c>
      <c r="AI380">
        <v>0</v>
      </c>
      <c r="AJ380">
        <f t="shared" si="8"/>
        <v>0</v>
      </c>
      <c r="AK380">
        <v>0</v>
      </c>
    </row>
    <row r="381" spans="1:40">
      <c r="A381" s="15">
        <v>40823</v>
      </c>
      <c r="B381" t="s">
        <v>3</v>
      </c>
      <c r="C381">
        <v>16</v>
      </c>
      <c r="D381" t="s">
        <v>57</v>
      </c>
      <c r="E381" s="76" t="s">
        <v>135</v>
      </c>
      <c r="F381">
        <v>2011</v>
      </c>
      <c r="G381" t="s">
        <v>16</v>
      </c>
      <c r="H381">
        <v>121</v>
      </c>
      <c r="I381">
        <v>0</v>
      </c>
      <c r="J381">
        <v>0</v>
      </c>
      <c r="K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0</v>
      </c>
      <c r="AI381">
        <v>0</v>
      </c>
      <c r="AJ381">
        <f t="shared" si="8"/>
        <v>121</v>
      </c>
      <c r="AK381">
        <v>1</v>
      </c>
      <c r="AL381" s="23">
        <f>215/121</f>
        <v>1.7768595041322315</v>
      </c>
    </row>
    <row r="382" spans="1:40">
      <c r="A382" s="77">
        <v>41193</v>
      </c>
      <c r="B382" s="78" t="s">
        <v>60</v>
      </c>
      <c r="C382" s="78">
        <v>19</v>
      </c>
      <c r="D382" s="78" t="s">
        <v>55</v>
      </c>
      <c r="E382" s="79" t="s">
        <v>129</v>
      </c>
      <c r="F382" s="78">
        <v>2012</v>
      </c>
      <c r="G382" s="78" t="s">
        <v>16</v>
      </c>
      <c r="H382" s="78">
        <v>2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0</v>
      </c>
      <c r="AJ382">
        <f t="shared" si="8"/>
        <v>2</v>
      </c>
      <c r="AK382">
        <v>1</v>
      </c>
      <c r="AL382" s="23">
        <f>9/2</f>
        <v>4.5</v>
      </c>
    </row>
    <row r="383" spans="1:40">
      <c r="A383" s="77">
        <v>41193</v>
      </c>
      <c r="B383" s="78" t="s">
        <v>58</v>
      </c>
      <c r="C383" s="78">
        <v>19</v>
      </c>
      <c r="D383" s="78" t="s">
        <v>138</v>
      </c>
      <c r="E383" s="79" t="s">
        <v>135</v>
      </c>
      <c r="F383" s="78">
        <v>2012</v>
      </c>
      <c r="G383" s="78" t="s">
        <v>16</v>
      </c>
      <c r="H383" s="78">
        <v>310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1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0</v>
      </c>
      <c r="AI383">
        <v>0</v>
      </c>
      <c r="AJ383">
        <f t="shared" si="8"/>
        <v>311</v>
      </c>
      <c r="AK383">
        <v>2</v>
      </c>
      <c r="AL383" s="23">
        <f>700/310</f>
        <v>2.2580645161290325</v>
      </c>
    </row>
    <row r="384" spans="1:40">
      <c r="A384" s="77">
        <v>41194</v>
      </c>
      <c r="B384" s="78" t="s">
        <v>60</v>
      </c>
      <c r="C384" s="78">
        <v>19</v>
      </c>
      <c r="D384" s="78" t="s">
        <v>55</v>
      </c>
      <c r="E384" s="79" t="s">
        <v>129</v>
      </c>
      <c r="F384" s="78">
        <v>2012</v>
      </c>
      <c r="G384" s="78" t="s">
        <v>16</v>
      </c>
      <c r="H384" s="78">
        <v>148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1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0</v>
      </c>
      <c r="AI384">
        <v>0</v>
      </c>
      <c r="AJ384">
        <f t="shared" si="8"/>
        <v>149</v>
      </c>
      <c r="AK384">
        <v>2</v>
      </c>
      <c r="AL384" s="23">
        <f>330/148</f>
        <v>2.2297297297297298</v>
      </c>
      <c r="AN384">
        <v>2</v>
      </c>
    </row>
    <row r="385" spans="1:41">
      <c r="A385" s="77">
        <v>41194</v>
      </c>
      <c r="B385" s="78" t="s">
        <v>5</v>
      </c>
      <c r="C385" s="78">
        <v>19</v>
      </c>
      <c r="D385" s="78" t="s">
        <v>56</v>
      </c>
      <c r="E385" s="79" t="s">
        <v>129</v>
      </c>
      <c r="F385" s="78">
        <v>2012</v>
      </c>
      <c r="G385" s="78" t="s">
        <v>16</v>
      </c>
      <c r="H385" s="78">
        <v>12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0</v>
      </c>
      <c r="AI385">
        <v>0</v>
      </c>
      <c r="AJ385">
        <f t="shared" si="8"/>
        <v>12</v>
      </c>
      <c r="AK385">
        <v>1</v>
      </c>
      <c r="AL385" s="23">
        <f>20/12</f>
        <v>1.6666666666666667</v>
      </c>
    </row>
    <row r="386" spans="1:41">
      <c r="A386" s="77">
        <v>41194</v>
      </c>
      <c r="B386" s="78" t="s">
        <v>58</v>
      </c>
      <c r="C386" s="78">
        <v>19</v>
      </c>
      <c r="D386" s="78" t="s">
        <v>138</v>
      </c>
      <c r="E386" s="79" t="s">
        <v>135</v>
      </c>
      <c r="F386" s="78">
        <v>2012</v>
      </c>
      <c r="G386" s="78" t="s">
        <v>16</v>
      </c>
      <c r="H386" s="78">
        <v>376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0</v>
      </c>
      <c r="AI386">
        <v>0</v>
      </c>
      <c r="AJ386">
        <f t="shared" si="8"/>
        <v>376</v>
      </c>
      <c r="AK386">
        <v>1</v>
      </c>
      <c r="AL386" s="23">
        <f>700/376</f>
        <v>1.8617021276595744</v>
      </c>
    </row>
    <row r="387" spans="1:41">
      <c r="A387" s="15">
        <v>41556</v>
      </c>
      <c r="B387" t="s">
        <v>61</v>
      </c>
      <c r="C387">
        <v>24</v>
      </c>
      <c r="D387" t="s">
        <v>55</v>
      </c>
      <c r="E387" t="s">
        <v>129</v>
      </c>
      <c r="F387">
        <v>2013</v>
      </c>
      <c r="G387" t="s">
        <v>16</v>
      </c>
      <c r="H387">
        <v>94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0</v>
      </c>
      <c r="AI387">
        <v>0</v>
      </c>
      <c r="AJ387">
        <v>94</v>
      </c>
      <c r="AK387">
        <v>1</v>
      </c>
      <c r="AL387">
        <v>1.5</v>
      </c>
    </row>
    <row r="388" spans="1:41">
      <c r="A388" s="15">
        <v>41556</v>
      </c>
      <c r="B388" t="s">
        <v>62</v>
      </c>
      <c r="C388">
        <v>24</v>
      </c>
      <c r="D388" t="s">
        <v>56</v>
      </c>
      <c r="E388" t="s">
        <v>129</v>
      </c>
      <c r="F388">
        <v>2013</v>
      </c>
      <c r="G388" t="s">
        <v>16</v>
      </c>
      <c r="H388">
        <v>132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  <c r="AF388">
        <v>1</v>
      </c>
      <c r="AG388">
        <v>1</v>
      </c>
      <c r="AH388">
        <v>0</v>
      </c>
      <c r="AI388">
        <v>0</v>
      </c>
      <c r="AJ388">
        <v>134</v>
      </c>
      <c r="AK388">
        <v>3</v>
      </c>
      <c r="AL388">
        <v>2.2000000000000002</v>
      </c>
    </row>
    <row r="389" spans="1:41">
      <c r="A389" s="15">
        <v>41556</v>
      </c>
      <c r="B389" t="s">
        <v>59</v>
      </c>
      <c r="C389">
        <v>24</v>
      </c>
      <c r="D389" t="s">
        <v>138</v>
      </c>
      <c r="E389" s="76" t="s">
        <v>135</v>
      </c>
      <c r="F389">
        <v>2013</v>
      </c>
      <c r="G389" t="s">
        <v>16</v>
      </c>
      <c r="H389">
        <v>247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0</v>
      </c>
      <c r="AI389">
        <v>0</v>
      </c>
      <c r="AJ389">
        <v>247</v>
      </c>
      <c r="AK389">
        <v>1</v>
      </c>
      <c r="AL389">
        <v>1.3</v>
      </c>
    </row>
    <row r="390" spans="1:41">
      <c r="A390" s="15">
        <v>41556</v>
      </c>
      <c r="B390" t="s">
        <v>109</v>
      </c>
      <c r="C390">
        <v>25.1</v>
      </c>
      <c r="D390" t="s">
        <v>138</v>
      </c>
      <c r="E390" s="76" t="s">
        <v>135</v>
      </c>
      <c r="F390">
        <v>2013</v>
      </c>
      <c r="G390" t="s">
        <v>16</v>
      </c>
      <c r="H390">
        <v>127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1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0</v>
      </c>
      <c r="AI390">
        <v>0</v>
      </c>
      <c r="AJ390">
        <v>128</v>
      </c>
      <c r="AK390">
        <v>2</v>
      </c>
      <c r="AL390">
        <v>2</v>
      </c>
      <c r="AO390" t="s">
        <v>144</v>
      </c>
    </row>
    <row r="391" spans="1:41">
      <c r="A391" s="15">
        <v>41557</v>
      </c>
      <c r="B391" t="s">
        <v>61</v>
      </c>
      <c r="C391">
        <v>24</v>
      </c>
      <c r="D391" t="s">
        <v>55</v>
      </c>
      <c r="E391" t="s">
        <v>129</v>
      </c>
      <c r="F391">
        <v>2013</v>
      </c>
      <c r="G391" t="s">
        <v>16</v>
      </c>
      <c r="H391">
        <v>88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0</v>
      </c>
      <c r="AI391">
        <v>0</v>
      </c>
      <c r="AJ391">
        <v>88</v>
      </c>
      <c r="AK391">
        <v>1</v>
      </c>
      <c r="AL391">
        <v>1.7</v>
      </c>
    </row>
    <row r="392" spans="1:41">
      <c r="A392" s="15">
        <v>41557</v>
      </c>
      <c r="B392" t="s">
        <v>62</v>
      </c>
      <c r="C392">
        <v>24</v>
      </c>
      <c r="D392" t="s">
        <v>56</v>
      </c>
      <c r="E392" t="s">
        <v>129</v>
      </c>
      <c r="F392">
        <v>2013</v>
      </c>
      <c r="G392" t="s">
        <v>16</v>
      </c>
      <c r="H392">
        <v>77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0</v>
      </c>
      <c r="AJ392">
        <v>77</v>
      </c>
      <c r="AK392">
        <v>1</v>
      </c>
      <c r="AL392">
        <v>2.1</v>
      </c>
    </row>
    <row r="393" spans="1:41">
      <c r="A393" s="15">
        <v>41557</v>
      </c>
      <c r="B393" t="s">
        <v>59</v>
      </c>
      <c r="C393">
        <v>24</v>
      </c>
      <c r="D393" t="s">
        <v>138</v>
      </c>
      <c r="E393" s="76" t="s">
        <v>135</v>
      </c>
      <c r="F393">
        <v>2013</v>
      </c>
      <c r="G393" t="s">
        <v>16</v>
      </c>
      <c r="H393">
        <v>259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0</v>
      </c>
      <c r="AE393">
        <v>0</v>
      </c>
      <c r="AF393">
        <v>0</v>
      </c>
      <c r="AG393">
        <v>0</v>
      </c>
      <c r="AH393">
        <v>0</v>
      </c>
      <c r="AI393">
        <v>0</v>
      </c>
      <c r="AJ393">
        <v>259</v>
      </c>
      <c r="AK393">
        <v>1</v>
      </c>
      <c r="AL393">
        <v>1.9</v>
      </c>
    </row>
    <row r="394" spans="1:41">
      <c r="A394" s="15">
        <v>41557</v>
      </c>
      <c r="B394" t="s">
        <v>58</v>
      </c>
      <c r="C394">
        <v>25.25</v>
      </c>
      <c r="D394" t="s">
        <v>138</v>
      </c>
      <c r="E394" s="76" t="s">
        <v>135</v>
      </c>
      <c r="F394">
        <v>2013</v>
      </c>
      <c r="G394" t="s">
        <v>16</v>
      </c>
      <c r="H394">
        <v>67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0</v>
      </c>
      <c r="AD394">
        <v>0</v>
      </c>
      <c r="AE394">
        <v>0</v>
      </c>
      <c r="AF394">
        <v>0</v>
      </c>
      <c r="AG394">
        <v>0</v>
      </c>
      <c r="AH394">
        <v>0</v>
      </c>
      <c r="AI394">
        <v>0</v>
      </c>
      <c r="AJ394">
        <v>67</v>
      </c>
      <c r="AK394">
        <v>1</v>
      </c>
      <c r="AL394">
        <v>1.7</v>
      </c>
    </row>
    <row r="395" spans="1:41">
      <c r="A395" s="15">
        <v>41571</v>
      </c>
      <c r="B395" t="s">
        <v>61</v>
      </c>
      <c r="C395">
        <v>25</v>
      </c>
      <c r="D395" t="s">
        <v>55</v>
      </c>
      <c r="E395" t="s">
        <v>129</v>
      </c>
      <c r="F395">
        <v>2013</v>
      </c>
      <c r="G395" t="s">
        <v>16</v>
      </c>
      <c r="H395">
        <v>44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0</v>
      </c>
      <c r="AI395">
        <v>0</v>
      </c>
      <c r="AJ395">
        <v>44</v>
      </c>
      <c r="AK395">
        <v>1</v>
      </c>
      <c r="AL395">
        <v>1.36</v>
      </c>
    </row>
    <row r="396" spans="1:41">
      <c r="A396" s="15">
        <v>41571</v>
      </c>
      <c r="B396" t="s">
        <v>62</v>
      </c>
      <c r="C396">
        <v>25</v>
      </c>
      <c r="D396" t="s">
        <v>56</v>
      </c>
      <c r="E396" t="s">
        <v>129</v>
      </c>
      <c r="F396">
        <v>2013</v>
      </c>
      <c r="G396" t="s">
        <v>16</v>
      </c>
      <c r="H396">
        <v>115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0</v>
      </c>
      <c r="AI396">
        <v>0</v>
      </c>
      <c r="AJ396">
        <v>115</v>
      </c>
      <c r="AK396">
        <v>1</v>
      </c>
      <c r="AL396">
        <v>1.3</v>
      </c>
    </row>
    <row r="397" spans="1:41">
      <c r="A397" s="15">
        <v>41571</v>
      </c>
      <c r="B397" t="s">
        <v>58</v>
      </c>
      <c r="C397">
        <v>25</v>
      </c>
      <c r="D397" t="s">
        <v>138</v>
      </c>
      <c r="E397" s="76" t="s">
        <v>135</v>
      </c>
      <c r="F397">
        <v>2013</v>
      </c>
      <c r="G397" t="s">
        <v>16</v>
      </c>
      <c r="H397">
        <v>15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0</v>
      </c>
      <c r="AI397">
        <v>0</v>
      </c>
      <c r="AJ397">
        <v>15</v>
      </c>
      <c r="AK397">
        <v>1</v>
      </c>
      <c r="AL397">
        <v>1.3</v>
      </c>
    </row>
    <row r="398" spans="1:41">
      <c r="A398" s="15">
        <v>41926</v>
      </c>
      <c r="B398" t="s">
        <v>61</v>
      </c>
      <c r="C398">
        <v>23.5</v>
      </c>
      <c r="D398" t="s">
        <v>55</v>
      </c>
      <c r="E398" t="s">
        <v>129</v>
      </c>
      <c r="F398">
        <v>2014</v>
      </c>
      <c r="G398" t="s">
        <v>16</v>
      </c>
      <c r="H398">
        <v>29</v>
      </c>
      <c r="I398">
        <v>0</v>
      </c>
      <c r="J398">
        <v>0</v>
      </c>
      <c r="K398">
        <v>0</v>
      </c>
      <c r="Q398">
        <v>0</v>
      </c>
      <c r="R398">
        <v>9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0</v>
      </c>
      <c r="AG398">
        <v>0</v>
      </c>
      <c r="AH398">
        <v>0</v>
      </c>
      <c r="AI398">
        <v>0</v>
      </c>
      <c r="AJ398">
        <f t="shared" ref="AJ398:AJ410" si="9">SUM(H398:AI398)</f>
        <v>38</v>
      </c>
      <c r="AK398">
        <v>2</v>
      </c>
      <c r="AL398" s="23">
        <f>55/29</f>
        <v>1.896551724137931</v>
      </c>
    </row>
    <row r="399" spans="1:41">
      <c r="A399" s="15">
        <v>41926</v>
      </c>
      <c r="B399" t="s">
        <v>62</v>
      </c>
      <c r="C399">
        <v>23.5</v>
      </c>
      <c r="D399" t="s">
        <v>56</v>
      </c>
      <c r="E399" t="s">
        <v>129</v>
      </c>
      <c r="F399">
        <v>2014</v>
      </c>
      <c r="G399" t="s">
        <v>16</v>
      </c>
      <c r="H399">
        <v>45</v>
      </c>
      <c r="I399">
        <v>0</v>
      </c>
      <c r="J399">
        <v>0</v>
      </c>
      <c r="K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0</v>
      </c>
      <c r="AI399">
        <v>0</v>
      </c>
      <c r="AJ399">
        <f t="shared" si="9"/>
        <v>45</v>
      </c>
      <c r="AK399">
        <v>1</v>
      </c>
      <c r="AL399" s="23">
        <f>80/45</f>
        <v>1.7777777777777777</v>
      </c>
    </row>
    <row r="400" spans="1:41">
      <c r="A400" s="15">
        <v>41926</v>
      </c>
      <c r="B400" t="s">
        <v>59</v>
      </c>
      <c r="C400">
        <v>23.5</v>
      </c>
      <c r="D400" t="s">
        <v>138</v>
      </c>
      <c r="E400" s="76" t="s">
        <v>135</v>
      </c>
      <c r="F400">
        <v>2014</v>
      </c>
      <c r="G400" t="s">
        <v>16</v>
      </c>
      <c r="H400">
        <v>0</v>
      </c>
      <c r="I400">
        <v>0</v>
      </c>
      <c r="J400">
        <v>0</v>
      </c>
      <c r="K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0</v>
      </c>
      <c r="AI400">
        <v>0</v>
      </c>
      <c r="AJ400">
        <f t="shared" si="9"/>
        <v>0</v>
      </c>
      <c r="AK400">
        <v>0</v>
      </c>
    </row>
    <row r="401" spans="1:38">
      <c r="A401" s="15">
        <v>41926</v>
      </c>
      <c r="B401" t="s">
        <v>3</v>
      </c>
      <c r="C401">
        <v>23.5</v>
      </c>
      <c r="D401" t="s">
        <v>57</v>
      </c>
      <c r="E401" s="76" t="s">
        <v>135</v>
      </c>
      <c r="F401">
        <v>2014</v>
      </c>
      <c r="G401" t="s">
        <v>16</v>
      </c>
      <c r="H401">
        <v>50</v>
      </c>
      <c r="I401">
        <v>0</v>
      </c>
      <c r="J401">
        <v>0</v>
      </c>
      <c r="K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0</v>
      </c>
      <c r="AJ401">
        <f t="shared" si="9"/>
        <v>50</v>
      </c>
      <c r="AK401">
        <v>1</v>
      </c>
      <c r="AL401" s="23">
        <f>75/50</f>
        <v>1.5</v>
      </c>
    </row>
    <row r="402" spans="1:38">
      <c r="A402" s="15">
        <v>41927</v>
      </c>
      <c r="B402" t="s">
        <v>61</v>
      </c>
      <c r="C402">
        <v>24</v>
      </c>
      <c r="D402" t="s">
        <v>55</v>
      </c>
      <c r="E402" t="s">
        <v>129</v>
      </c>
      <c r="F402">
        <v>2014</v>
      </c>
      <c r="G402" t="s">
        <v>16</v>
      </c>
      <c r="H402">
        <v>9</v>
      </c>
      <c r="I402">
        <v>0</v>
      </c>
      <c r="J402">
        <v>0</v>
      </c>
      <c r="K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0</v>
      </c>
      <c r="AI402">
        <v>0</v>
      </c>
      <c r="AJ402">
        <f t="shared" si="9"/>
        <v>9</v>
      </c>
      <c r="AK402">
        <v>1</v>
      </c>
      <c r="AL402" s="23">
        <f>55/9</f>
        <v>6.1111111111111107</v>
      </c>
    </row>
    <row r="403" spans="1:38">
      <c r="A403" s="15">
        <v>41927</v>
      </c>
      <c r="B403" t="s">
        <v>62</v>
      </c>
      <c r="C403">
        <v>24</v>
      </c>
      <c r="D403" t="s">
        <v>56</v>
      </c>
      <c r="E403" t="s">
        <v>129</v>
      </c>
      <c r="F403">
        <v>2014</v>
      </c>
      <c r="G403" t="s">
        <v>16</v>
      </c>
      <c r="H403">
        <v>8</v>
      </c>
      <c r="I403">
        <v>0</v>
      </c>
      <c r="J403">
        <v>0</v>
      </c>
      <c r="K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0</v>
      </c>
      <c r="AI403">
        <v>0</v>
      </c>
      <c r="AJ403">
        <f t="shared" si="9"/>
        <v>8</v>
      </c>
      <c r="AK403">
        <v>1</v>
      </c>
      <c r="AL403" s="23">
        <f>12/8</f>
        <v>1.5</v>
      </c>
    </row>
    <row r="404" spans="1:38">
      <c r="A404" s="15">
        <v>41927</v>
      </c>
      <c r="B404" t="s">
        <v>58</v>
      </c>
      <c r="C404">
        <v>24</v>
      </c>
      <c r="D404" t="s">
        <v>57</v>
      </c>
      <c r="E404" s="76" t="s">
        <v>135</v>
      </c>
      <c r="F404">
        <v>2014</v>
      </c>
      <c r="G404" t="s">
        <v>16</v>
      </c>
      <c r="H404">
        <v>0</v>
      </c>
      <c r="I404">
        <v>0</v>
      </c>
      <c r="J404">
        <v>0</v>
      </c>
      <c r="K404">
        <v>3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0</v>
      </c>
      <c r="AG404">
        <v>0</v>
      </c>
      <c r="AH404">
        <v>0</v>
      </c>
      <c r="AI404">
        <v>0</v>
      </c>
      <c r="AJ404">
        <f t="shared" si="9"/>
        <v>3</v>
      </c>
      <c r="AK404">
        <v>1</v>
      </c>
      <c r="AL404" s="23">
        <f>3/3</f>
        <v>1</v>
      </c>
    </row>
    <row r="405" spans="1:38">
      <c r="A405" s="15">
        <v>41928</v>
      </c>
      <c r="B405" t="s">
        <v>61</v>
      </c>
      <c r="C405">
        <v>24.25</v>
      </c>
      <c r="D405" t="s">
        <v>55</v>
      </c>
      <c r="E405" t="s">
        <v>129</v>
      </c>
      <c r="F405">
        <v>2014</v>
      </c>
      <c r="G405" t="s">
        <v>16</v>
      </c>
      <c r="H405">
        <v>88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0</v>
      </c>
      <c r="AG405">
        <v>0</v>
      </c>
      <c r="AH405">
        <v>0</v>
      </c>
      <c r="AI405">
        <v>0</v>
      </c>
      <c r="AJ405">
        <f t="shared" si="9"/>
        <v>88</v>
      </c>
      <c r="AK405">
        <v>1</v>
      </c>
      <c r="AL405" s="23">
        <f>170/88</f>
        <v>1.9318181818181819</v>
      </c>
    </row>
    <row r="406" spans="1:38">
      <c r="A406" s="15">
        <v>41928</v>
      </c>
      <c r="B406" t="s">
        <v>62</v>
      </c>
      <c r="C406">
        <v>24.25</v>
      </c>
      <c r="D406" t="s">
        <v>56</v>
      </c>
      <c r="E406" t="s">
        <v>129</v>
      </c>
      <c r="F406">
        <v>2014</v>
      </c>
      <c r="G406" t="s">
        <v>16</v>
      </c>
      <c r="H406">
        <v>42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0</v>
      </c>
      <c r="AE406">
        <v>0</v>
      </c>
      <c r="AF406">
        <v>0</v>
      </c>
      <c r="AG406">
        <v>0</v>
      </c>
      <c r="AH406">
        <v>0</v>
      </c>
      <c r="AI406">
        <v>0</v>
      </c>
      <c r="AJ406">
        <f t="shared" si="9"/>
        <v>42</v>
      </c>
      <c r="AK406">
        <v>1</v>
      </c>
      <c r="AL406" s="23">
        <f>75/42</f>
        <v>1.7857142857142858</v>
      </c>
    </row>
    <row r="407" spans="1:38">
      <c r="A407" s="15">
        <v>41928</v>
      </c>
      <c r="B407" t="s">
        <v>3</v>
      </c>
      <c r="C407">
        <v>24.25</v>
      </c>
      <c r="D407" t="s">
        <v>57</v>
      </c>
      <c r="E407" s="76" t="s">
        <v>135</v>
      </c>
      <c r="F407">
        <v>2014</v>
      </c>
      <c r="G407" t="s">
        <v>16</v>
      </c>
      <c r="H407">
        <v>187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0</v>
      </c>
      <c r="AI407">
        <v>0</v>
      </c>
      <c r="AJ407">
        <f t="shared" si="9"/>
        <v>187</v>
      </c>
      <c r="AK407">
        <v>1</v>
      </c>
      <c r="AL407" s="23">
        <f>315/187</f>
        <v>1.6844919786096257</v>
      </c>
    </row>
    <row r="408" spans="1:38">
      <c r="A408" s="15">
        <v>41929</v>
      </c>
      <c r="B408" t="s">
        <v>61</v>
      </c>
      <c r="C408">
        <v>23.25</v>
      </c>
      <c r="D408" t="s">
        <v>55</v>
      </c>
      <c r="E408" t="s">
        <v>129</v>
      </c>
      <c r="F408">
        <v>2014</v>
      </c>
      <c r="G408" t="s">
        <v>16</v>
      </c>
      <c r="H408">
        <v>84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0</v>
      </c>
      <c r="AG408">
        <v>0</v>
      </c>
      <c r="AH408">
        <v>0</v>
      </c>
      <c r="AI408">
        <v>0</v>
      </c>
      <c r="AJ408">
        <f t="shared" si="9"/>
        <v>84</v>
      </c>
      <c r="AK408">
        <v>1</v>
      </c>
    </row>
    <row r="409" spans="1:38">
      <c r="A409" s="15">
        <v>41929</v>
      </c>
      <c r="B409" t="s">
        <v>62</v>
      </c>
      <c r="C409">
        <v>23.25</v>
      </c>
      <c r="D409" t="s">
        <v>56</v>
      </c>
      <c r="E409" t="s">
        <v>129</v>
      </c>
      <c r="F409">
        <v>2014</v>
      </c>
      <c r="G409" t="s">
        <v>16</v>
      </c>
      <c r="H409">
        <v>60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v>0</v>
      </c>
      <c r="AF409">
        <v>0</v>
      </c>
      <c r="AG409">
        <v>0</v>
      </c>
      <c r="AH409">
        <v>0</v>
      </c>
      <c r="AI409">
        <v>0</v>
      </c>
      <c r="AJ409">
        <f t="shared" si="9"/>
        <v>60</v>
      </c>
      <c r="AK409">
        <v>1</v>
      </c>
      <c r="AL409" s="23">
        <f>95/60</f>
        <v>1.5833333333333333</v>
      </c>
    </row>
    <row r="410" spans="1:38">
      <c r="A410" s="15">
        <v>41929</v>
      </c>
      <c r="B410" t="s">
        <v>3</v>
      </c>
      <c r="C410">
        <v>23.25</v>
      </c>
      <c r="D410" t="s">
        <v>57</v>
      </c>
      <c r="E410" s="76" t="s">
        <v>135</v>
      </c>
      <c r="F410">
        <v>2014</v>
      </c>
      <c r="G410" t="s">
        <v>16</v>
      </c>
      <c r="H410">
        <v>453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0</v>
      </c>
      <c r="AI410">
        <v>0</v>
      </c>
      <c r="AJ410">
        <f t="shared" si="9"/>
        <v>453</v>
      </c>
      <c r="AK410">
        <v>1</v>
      </c>
      <c r="AL410" s="23">
        <f>890/453</f>
        <v>1.9646799116997793</v>
      </c>
    </row>
  </sheetData>
  <phoneticPr fontId="0" type="noConversion"/>
  <printOptions gridLines="1"/>
  <pageMargins left="0.75" right="0.75" top="1" bottom="1" header="0.5" footer="0.5"/>
  <pageSetup orientation="landscape" horizontalDpi="36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A411"/>
  <sheetViews>
    <sheetView zoomScaleNormal="100" workbookViewId="0">
      <pane xSplit="2" ySplit="7" topLeftCell="Q389" activePane="bottomRight" state="frozenSplit"/>
      <selection pane="topRight" activeCell="C1" sqref="C1"/>
      <selection pane="bottomLeft" activeCell="A8" sqref="A8"/>
      <selection pane="bottomRight" activeCell="Q422" sqref="Q422"/>
    </sheetView>
  </sheetViews>
  <sheetFormatPr defaultColWidth="8.85546875" defaultRowHeight="12.75"/>
  <cols>
    <col min="1" max="1" width="11" style="15" customWidth="1"/>
    <col min="2" max="2" width="21.85546875" customWidth="1"/>
    <col min="3" max="3" width="7.7109375" customWidth="1"/>
    <col min="4" max="4" width="17.42578125" customWidth="1"/>
    <col min="5" max="5" width="23.28515625" customWidth="1"/>
    <col min="6" max="6" width="7.42578125" customWidth="1"/>
    <col min="7" max="7" width="7.7109375" bestFit="1" customWidth="1"/>
    <col min="8" max="8" width="5.85546875" customWidth="1"/>
    <col min="9" max="9" width="4.42578125" customWidth="1"/>
    <col min="10" max="10" width="4.28515625" customWidth="1"/>
    <col min="11" max="11" width="4" customWidth="1"/>
    <col min="12" max="12" width="7" style="8" hidden="1" customWidth="1"/>
    <col min="13" max="13" width="8.140625" style="5" hidden="1" customWidth="1"/>
    <col min="14" max="14" width="8.42578125" hidden="1" customWidth="1"/>
    <col min="15" max="15" width="8.7109375" hidden="1" customWidth="1"/>
    <col min="16" max="16" width="7.85546875" hidden="1" customWidth="1"/>
    <col min="17" max="18" width="4" customWidth="1"/>
    <col min="19" max="21" width="3.85546875" customWidth="1"/>
    <col min="22" max="24" width="4.7109375" customWidth="1"/>
    <col min="25" max="34" width="5.28515625" customWidth="1"/>
    <col min="35" max="35" width="4.28515625" customWidth="1"/>
    <col min="36" max="36" width="8.42578125" customWidth="1"/>
    <col min="37" max="37" width="9.85546875" customWidth="1"/>
    <col min="38" max="38" width="7.140625" style="23" customWidth="1"/>
    <col min="39" max="40" width="5.140625" customWidth="1"/>
    <col min="41" max="41" width="8.85546875" customWidth="1"/>
    <col min="42" max="42" width="7.140625" customWidth="1"/>
    <col min="43" max="43" width="25.42578125" customWidth="1"/>
  </cols>
  <sheetData>
    <row r="1" spans="1:79" ht="12.75" customHeight="1">
      <c r="A1" s="27" t="s">
        <v>18</v>
      </c>
      <c r="D1" s="11" t="s">
        <v>19</v>
      </c>
      <c r="E1" s="11"/>
      <c r="F1" s="11"/>
      <c r="G1" s="11"/>
    </row>
    <row r="2" spans="1:79">
      <c r="A2" s="15" t="s">
        <v>20</v>
      </c>
    </row>
    <row r="3" spans="1:79">
      <c r="A3" s="15" t="s">
        <v>21</v>
      </c>
    </row>
    <row r="4" spans="1:79">
      <c r="A4" s="15" t="s">
        <v>22</v>
      </c>
    </row>
    <row r="5" spans="1:79">
      <c r="H5" s="11" t="s">
        <v>23</v>
      </c>
      <c r="AL5" s="29" t="s">
        <v>24</v>
      </c>
      <c r="AM5" s="11"/>
      <c r="AN5" s="11"/>
    </row>
    <row r="6" spans="1:79">
      <c r="I6" s="11" t="s">
        <v>25</v>
      </c>
    </row>
    <row r="7" spans="1:79" ht="65.25" customHeight="1">
      <c r="A7" s="28" t="s">
        <v>26</v>
      </c>
      <c r="B7" s="4" t="s">
        <v>27</v>
      </c>
      <c r="C7" s="3" t="s">
        <v>28</v>
      </c>
      <c r="D7" s="4" t="s">
        <v>29</v>
      </c>
      <c r="E7" s="4" t="s">
        <v>113</v>
      </c>
      <c r="F7" s="4" t="s">
        <v>70</v>
      </c>
      <c r="G7" s="4" t="s">
        <v>14</v>
      </c>
      <c r="H7" s="12" t="s">
        <v>30</v>
      </c>
      <c r="I7" s="12" t="s">
        <v>31</v>
      </c>
      <c r="J7" s="12" t="s">
        <v>32</v>
      </c>
      <c r="K7" s="12" t="s">
        <v>33</v>
      </c>
      <c r="L7" s="7" t="s">
        <v>34</v>
      </c>
      <c r="M7" s="6" t="s">
        <v>35</v>
      </c>
      <c r="N7" s="3" t="s">
        <v>36</v>
      </c>
      <c r="O7" s="3" t="s">
        <v>37</v>
      </c>
      <c r="P7" s="3" t="s">
        <v>38</v>
      </c>
      <c r="Q7" s="12" t="s">
        <v>39</v>
      </c>
      <c r="R7" s="12" t="s">
        <v>40</v>
      </c>
      <c r="S7" s="3" t="s">
        <v>41</v>
      </c>
      <c r="T7" s="12" t="s">
        <v>42</v>
      </c>
      <c r="U7" s="12" t="s">
        <v>17</v>
      </c>
      <c r="V7" s="12" t="s">
        <v>43</v>
      </c>
      <c r="W7" s="12" t="s">
        <v>44</v>
      </c>
      <c r="X7" s="12" t="s">
        <v>125</v>
      </c>
      <c r="Y7" s="12" t="s">
        <v>45</v>
      </c>
      <c r="Z7" s="12" t="s">
        <v>46</v>
      </c>
      <c r="AA7" s="26" t="s">
        <v>72</v>
      </c>
      <c r="AB7" s="26" t="s">
        <v>73</v>
      </c>
      <c r="AC7" s="12" t="s">
        <v>47</v>
      </c>
      <c r="AD7" s="24" t="s">
        <v>48</v>
      </c>
      <c r="AE7" s="12" t="s">
        <v>49</v>
      </c>
      <c r="AF7" s="12" t="s">
        <v>50</v>
      </c>
      <c r="AG7" s="12" t="s">
        <v>13</v>
      </c>
      <c r="AH7" s="12" t="s">
        <v>71</v>
      </c>
      <c r="AI7" s="12" t="s">
        <v>112</v>
      </c>
      <c r="AJ7" s="3" t="s">
        <v>52</v>
      </c>
      <c r="AK7" s="3" t="s">
        <v>53</v>
      </c>
      <c r="AL7" s="30" t="s">
        <v>85</v>
      </c>
      <c r="AM7" s="12" t="s">
        <v>86</v>
      </c>
      <c r="AN7" s="12" t="s">
        <v>87</v>
      </c>
      <c r="AO7" s="11" t="s">
        <v>54</v>
      </c>
      <c r="AT7" s="10"/>
    </row>
    <row r="8" spans="1:79" s="2" customFormat="1">
      <c r="A8" s="15">
        <v>35948</v>
      </c>
      <c r="B8" t="s">
        <v>60</v>
      </c>
      <c r="C8"/>
      <c r="D8" t="s">
        <v>55</v>
      </c>
      <c r="E8" t="s">
        <v>131</v>
      </c>
      <c r="F8">
        <v>1998</v>
      </c>
      <c r="G8" t="s">
        <v>15</v>
      </c>
      <c r="H8">
        <v>16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>
        <f t="shared" ref="AJ8:AJ39" si="0">SUM(H8:AI8)</f>
        <v>16</v>
      </c>
      <c r="AK8">
        <v>1</v>
      </c>
      <c r="AL8" s="23">
        <v>3.4</v>
      </c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</row>
    <row r="9" spans="1:79" s="2" customFormat="1">
      <c r="A9" s="15">
        <v>35948</v>
      </c>
      <c r="B9" t="s">
        <v>61</v>
      </c>
      <c r="C9"/>
      <c r="D9" t="s">
        <v>55</v>
      </c>
      <c r="E9" t="s">
        <v>131</v>
      </c>
      <c r="F9">
        <v>1998</v>
      </c>
      <c r="G9" t="s">
        <v>15</v>
      </c>
      <c r="H9">
        <v>27</v>
      </c>
      <c r="I9"/>
      <c r="J9"/>
      <c r="K9"/>
      <c r="L9"/>
      <c r="M9"/>
      <c r="N9"/>
      <c r="O9"/>
      <c r="P9"/>
      <c r="Q9">
        <v>3</v>
      </c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>
        <f t="shared" si="0"/>
        <v>30</v>
      </c>
      <c r="AK9">
        <v>2</v>
      </c>
      <c r="AL9" s="23">
        <v>2.27</v>
      </c>
      <c r="AM9"/>
      <c r="AN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</row>
    <row r="10" spans="1:79" s="2" customFormat="1">
      <c r="A10" s="15">
        <v>35948</v>
      </c>
      <c r="B10" t="s">
        <v>63</v>
      </c>
      <c r="D10" t="s">
        <v>55</v>
      </c>
      <c r="E10" t="s">
        <v>131</v>
      </c>
      <c r="F10">
        <v>1998</v>
      </c>
      <c r="G10" t="s">
        <v>15</v>
      </c>
      <c r="H10">
        <v>3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>
        <f t="shared" si="0"/>
        <v>3</v>
      </c>
      <c r="AK10">
        <v>1</v>
      </c>
      <c r="AL10" s="23">
        <v>3.3</v>
      </c>
      <c r="AM10"/>
      <c r="AN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</row>
    <row r="11" spans="1:79" s="2" customFormat="1">
      <c r="A11" s="15">
        <v>35948</v>
      </c>
      <c r="B11" t="s">
        <v>62</v>
      </c>
      <c r="D11" t="s">
        <v>56</v>
      </c>
      <c r="E11" t="s">
        <v>130</v>
      </c>
      <c r="F11">
        <v>1998</v>
      </c>
      <c r="G11" t="s">
        <v>15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>
        <f t="shared" si="0"/>
        <v>0</v>
      </c>
      <c r="AK11">
        <v>0</v>
      </c>
      <c r="AL11" s="23"/>
      <c r="AM11"/>
      <c r="AN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</row>
    <row r="12" spans="1:79" s="2" customFormat="1">
      <c r="A12" s="15">
        <v>35949</v>
      </c>
      <c r="B12" t="s">
        <v>61</v>
      </c>
      <c r="D12" t="s">
        <v>55</v>
      </c>
      <c r="E12" t="s">
        <v>131</v>
      </c>
      <c r="F12">
        <v>1998</v>
      </c>
      <c r="G12" t="s">
        <v>15</v>
      </c>
      <c r="H12">
        <v>8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>
        <f t="shared" si="0"/>
        <v>8</v>
      </c>
      <c r="AK12">
        <v>1</v>
      </c>
      <c r="AL12" s="23">
        <v>2.4</v>
      </c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</row>
    <row r="13" spans="1:79" s="2" customFormat="1">
      <c r="A13" s="15">
        <v>35949</v>
      </c>
      <c r="B13" s="2" t="s">
        <v>63</v>
      </c>
      <c r="D13" t="s">
        <v>55</v>
      </c>
      <c r="E13" t="s">
        <v>131</v>
      </c>
      <c r="F13">
        <v>1998</v>
      </c>
      <c r="G13" t="s">
        <v>15</v>
      </c>
      <c r="H13" s="2">
        <v>26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>
        <f t="shared" si="0"/>
        <v>26</v>
      </c>
      <c r="AK13" s="2">
        <v>1</v>
      </c>
      <c r="AL13" s="31">
        <v>3.6</v>
      </c>
      <c r="AO13"/>
      <c r="AP13"/>
    </row>
    <row r="14" spans="1:79" s="2" customFormat="1">
      <c r="A14" s="15">
        <v>35949</v>
      </c>
      <c r="B14" s="2" t="s">
        <v>62</v>
      </c>
      <c r="D14" t="s">
        <v>56</v>
      </c>
      <c r="E14" t="s">
        <v>130</v>
      </c>
      <c r="F14">
        <v>1998</v>
      </c>
      <c r="G14" t="s">
        <v>15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>
        <f t="shared" si="0"/>
        <v>0</v>
      </c>
      <c r="AK14" s="2">
        <v>1</v>
      </c>
      <c r="AL14" s="31"/>
      <c r="AO14"/>
      <c r="AP14"/>
    </row>
    <row r="15" spans="1:79" s="2" customFormat="1">
      <c r="A15" s="14">
        <v>35950</v>
      </c>
      <c r="B15" s="2" t="s">
        <v>60</v>
      </c>
      <c r="D15" t="s">
        <v>55</v>
      </c>
      <c r="E15" t="s">
        <v>131</v>
      </c>
      <c r="F15">
        <v>1998</v>
      </c>
      <c r="G15" t="s">
        <v>15</v>
      </c>
      <c r="H15" s="2">
        <v>62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>
        <f t="shared" si="0"/>
        <v>62</v>
      </c>
      <c r="AK15" s="2">
        <v>1</v>
      </c>
      <c r="AL15" s="31">
        <v>2.1</v>
      </c>
      <c r="AO15"/>
      <c r="AP15"/>
    </row>
    <row r="16" spans="1:79" s="2" customFormat="1">
      <c r="A16" s="14">
        <v>35950</v>
      </c>
      <c r="B16" s="2" t="s">
        <v>61</v>
      </c>
      <c r="D16" t="s">
        <v>55</v>
      </c>
      <c r="E16" t="s">
        <v>131</v>
      </c>
      <c r="F16">
        <v>1998</v>
      </c>
      <c r="G16" t="s">
        <v>15</v>
      </c>
      <c r="H16" s="2">
        <v>2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>
        <f t="shared" si="0"/>
        <v>2</v>
      </c>
      <c r="AK16" s="2">
        <v>1</v>
      </c>
      <c r="AL16" s="31"/>
      <c r="AO16"/>
      <c r="AP16"/>
    </row>
    <row r="17" spans="1:44" s="2" customFormat="1">
      <c r="A17" s="14">
        <v>35950</v>
      </c>
      <c r="B17" s="2" t="s">
        <v>63</v>
      </c>
      <c r="D17" t="s">
        <v>55</v>
      </c>
      <c r="E17" t="s">
        <v>131</v>
      </c>
      <c r="F17">
        <v>1998</v>
      </c>
      <c r="G17" t="s">
        <v>15</v>
      </c>
      <c r="H17" s="2">
        <v>36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>
        <f t="shared" si="0"/>
        <v>36</v>
      </c>
      <c r="AK17" s="2">
        <v>1</v>
      </c>
      <c r="AL17" s="31">
        <v>1.7</v>
      </c>
      <c r="AO17"/>
      <c r="AP17"/>
    </row>
    <row r="18" spans="1:44" s="2" customFormat="1">
      <c r="A18" s="14">
        <v>35950</v>
      </c>
      <c r="B18" s="2" t="s">
        <v>62</v>
      </c>
      <c r="D18" t="s">
        <v>56</v>
      </c>
      <c r="E18" t="s">
        <v>130</v>
      </c>
      <c r="F18">
        <v>1998</v>
      </c>
      <c r="G18" t="s">
        <v>15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>
        <f t="shared" si="0"/>
        <v>0</v>
      </c>
      <c r="AK18" s="2">
        <v>0</v>
      </c>
      <c r="AL18" s="31"/>
      <c r="AO18"/>
      <c r="AP18"/>
    </row>
    <row r="19" spans="1:44" s="2" customFormat="1">
      <c r="A19" s="14">
        <v>35955</v>
      </c>
      <c r="B19" s="2" t="s">
        <v>60</v>
      </c>
      <c r="D19" t="s">
        <v>55</v>
      </c>
      <c r="E19" t="s">
        <v>131</v>
      </c>
      <c r="F19">
        <v>1998</v>
      </c>
      <c r="G19" t="s">
        <v>15</v>
      </c>
      <c r="H19" s="2">
        <v>15</v>
      </c>
      <c r="I19"/>
      <c r="J19"/>
      <c r="K19"/>
      <c r="Q19" s="2">
        <v>1</v>
      </c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>
        <f t="shared" si="0"/>
        <v>16</v>
      </c>
      <c r="AK19" s="2">
        <v>3</v>
      </c>
      <c r="AL19" s="31">
        <v>1.6</v>
      </c>
      <c r="AO19"/>
      <c r="AP19"/>
    </row>
    <row r="20" spans="1:44" s="2" customFormat="1">
      <c r="A20" s="14">
        <v>35955</v>
      </c>
      <c r="B20" s="2" t="s">
        <v>61</v>
      </c>
      <c r="D20" t="s">
        <v>55</v>
      </c>
      <c r="E20" t="s">
        <v>131</v>
      </c>
      <c r="F20">
        <v>1998</v>
      </c>
      <c r="G20" t="s">
        <v>15</v>
      </c>
      <c r="H20" s="2">
        <v>1</v>
      </c>
      <c r="I20"/>
      <c r="J20"/>
      <c r="K20"/>
      <c r="Q20"/>
      <c r="R20"/>
      <c r="S20" s="2">
        <v>1</v>
      </c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>
        <f t="shared" si="0"/>
        <v>2</v>
      </c>
      <c r="AK20" s="2">
        <v>2</v>
      </c>
      <c r="AL20" s="31">
        <v>5</v>
      </c>
      <c r="AO20"/>
      <c r="AP20"/>
    </row>
    <row r="21" spans="1:44" s="2" customFormat="1">
      <c r="A21" s="14">
        <v>35955</v>
      </c>
      <c r="B21" s="2" t="s">
        <v>63</v>
      </c>
      <c r="D21" t="s">
        <v>55</v>
      </c>
      <c r="E21" t="s">
        <v>131</v>
      </c>
      <c r="F21">
        <v>1998</v>
      </c>
      <c r="G21" t="s">
        <v>15</v>
      </c>
      <c r="H21" s="2">
        <v>1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>
        <f t="shared" si="0"/>
        <v>1</v>
      </c>
      <c r="AK21" s="2">
        <v>1</v>
      </c>
      <c r="AL21" s="31">
        <v>2</v>
      </c>
    </row>
    <row r="22" spans="1:44" s="2" customFormat="1">
      <c r="A22" s="14">
        <v>35955</v>
      </c>
      <c r="B22" s="2" t="s">
        <v>62</v>
      </c>
      <c r="D22" t="s">
        <v>56</v>
      </c>
      <c r="E22" t="s">
        <v>130</v>
      </c>
      <c r="F22">
        <v>1998</v>
      </c>
      <c r="G22" t="s">
        <v>15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>
        <f t="shared" si="0"/>
        <v>0</v>
      </c>
      <c r="AK22" s="2">
        <v>0</v>
      </c>
      <c r="AL22" s="31"/>
    </row>
    <row r="23" spans="1:44" s="2" customFormat="1">
      <c r="A23" s="14">
        <v>35956</v>
      </c>
      <c r="B23" s="2" t="s">
        <v>60</v>
      </c>
      <c r="D23" t="s">
        <v>55</v>
      </c>
      <c r="E23" t="s">
        <v>131</v>
      </c>
      <c r="F23">
        <v>1998</v>
      </c>
      <c r="G23" t="s">
        <v>15</v>
      </c>
      <c r="H23" s="2">
        <v>56</v>
      </c>
      <c r="I23"/>
      <c r="J23"/>
      <c r="K23"/>
      <c r="L23"/>
      <c r="M23"/>
      <c r="N23"/>
      <c r="O23"/>
      <c r="P23"/>
      <c r="Q23"/>
      <c r="R23" s="2">
        <v>1</v>
      </c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>
        <f t="shared" si="0"/>
        <v>57</v>
      </c>
      <c r="AK23" s="2">
        <v>2</v>
      </c>
      <c r="AL23" s="31">
        <v>1.6</v>
      </c>
      <c r="AO23" s="9"/>
    </row>
    <row r="24" spans="1:44" s="2" customFormat="1">
      <c r="A24" s="14">
        <v>35956</v>
      </c>
      <c r="B24" t="s">
        <v>61</v>
      </c>
      <c r="D24" t="s">
        <v>55</v>
      </c>
      <c r="E24" t="s">
        <v>131</v>
      </c>
      <c r="F24">
        <v>1998</v>
      </c>
      <c r="G24" t="s">
        <v>15</v>
      </c>
      <c r="H24">
        <v>69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>
        <f t="shared" si="0"/>
        <v>69</v>
      </c>
      <c r="AK24">
        <v>1</v>
      </c>
      <c r="AL24" s="23">
        <v>2.17</v>
      </c>
      <c r="AM24"/>
      <c r="AN24"/>
      <c r="AO24"/>
      <c r="AP24"/>
    </row>
    <row r="25" spans="1:44" s="2" customFormat="1">
      <c r="A25" s="14">
        <v>35956</v>
      </c>
      <c r="B25" t="s">
        <v>63</v>
      </c>
      <c r="D25" t="s">
        <v>55</v>
      </c>
      <c r="E25" t="s">
        <v>131</v>
      </c>
      <c r="F25">
        <v>1998</v>
      </c>
      <c r="G25" t="s">
        <v>15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 s="2">
        <v>1</v>
      </c>
      <c r="AJ25">
        <f t="shared" si="0"/>
        <v>1</v>
      </c>
      <c r="AK25">
        <v>1</v>
      </c>
      <c r="AL25" s="23">
        <v>1.8</v>
      </c>
      <c r="AM25"/>
      <c r="AN25"/>
      <c r="AO25"/>
      <c r="AP25"/>
    </row>
    <row r="26" spans="1:44" s="2" customFormat="1">
      <c r="A26" s="14">
        <v>35956</v>
      </c>
      <c r="B26" t="s">
        <v>62</v>
      </c>
      <c r="D26" t="s">
        <v>56</v>
      </c>
      <c r="E26" t="s">
        <v>130</v>
      </c>
      <c r="F26">
        <v>1998</v>
      </c>
      <c r="G26" t="s">
        <v>15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>
        <f t="shared" si="0"/>
        <v>0</v>
      </c>
      <c r="AK26">
        <v>0</v>
      </c>
      <c r="AL26" s="23"/>
      <c r="AM26"/>
      <c r="AN26"/>
    </row>
    <row r="27" spans="1:44" s="2" customFormat="1">
      <c r="A27" s="15">
        <v>35958</v>
      </c>
      <c r="B27" t="s">
        <v>60</v>
      </c>
      <c r="D27" t="s">
        <v>55</v>
      </c>
      <c r="E27" t="s">
        <v>131</v>
      </c>
      <c r="F27">
        <v>1998</v>
      </c>
      <c r="G27" t="s">
        <v>15</v>
      </c>
      <c r="H27">
        <v>58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>
        <v>1</v>
      </c>
      <c r="Z27"/>
      <c r="AA27"/>
      <c r="AB27"/>
      <c r="AC27"/>
      <c r="AD27"/>
      <c r="AE27"/>
      <c r="AF27"/>
      <c r="AG27"/>
      <c r="AH27"/>
      <c r="AI27"/>
      <c r="AJ27">
        <f t="shared" si="0"/>
        <v>59</v>
      </c>
      <c r="AK27">
        <v>1</v>
      </c>
      <c r="AL27" s="23"/>
      <c r="AM27"/>
      <c r="AN27"/>
      <c r="AO27"/>
      <c r="AP27"/>
      <c r="AQ27"/>
      <c r="AR27"/>
    </row>
    <row r="28" spans="1:44" s="2" customFormat="1" ht="12.75" customHeight="1">
      <c r="A28" s="15">
        <v>35958</v>
      </c>
      <c r="B28" t="s">
        <v>61</v>
      </c>
      <c r="D28" t="s">
        <v>55</v>
      </c>
      <c r="E28" t="s">
        <v>131</v>
      </c>
      <c r="F28">
        <v>1998</v>
      </c>
      <c r="G28" t="s">
        <v>15</v>
      </c>
      <c r="H28">
        <v>48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>
        <f t="shared" si="0"/>
        <v>48</v>
      </c>
      <c r="AK28">
        <v>1</v>
      </c>
      <c r="AL28" s="23"/>
      <c r="AM28"/>
      <c r="AN28"/>
      <c r="AO28"/>
      <c r="AP28"/>
      <c r="AQ28"/>
      <c r="AR28"/>
    </row>
    <row r="29" spans="1:44" s="2" customFormat="1" ht="12.75" customHeight="1">
      <c r="A29" s="15">
        <v>36070</v>
      </c>
      <c r="B29" t="s">
        <v>60</v>
      </c>
      <c r="C29" s="13">
        <v>26</v>
      </c>
      <c r="D29" t="s">
        <v>55</v>
      </c>
      <c r="E29" t="s">
        <v>131</v>
      </c>
      <c r="F29">
        <v>1998</v>
      </c>
      <c r="G29" t="s">
        <v>16</v>
      </c>
      <c r="H29">
        <v>58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>
        <v>1</v>
      </c>
      <c r="Z29"/>
      <c r="AA29"/>
      <c r="AB29"/>
      <c r="AC29"/>
      <c r="AD29"/>
      <c r="AE29"/>
      <c r="AF29"/>
      <c r="AG29"/>
      <c r="AH29"/>
      <c r="AI29"/>
      <c r="AJ29">
        <f t="shared" si="0"/>
        <v>59</v>
      </c>
      <c r="AK29">
        <v>2</v>
      </c>
      <c r="AL29" s="23">
        <v>1.6</v>
      </c>
      <c r="AM29"/>
      <c r="AN29"/>
      <c r="AO29"/>
      <c r="AP29"/>
      <c r="AQ29"/>
      <c r="AR29"/>
    </row>
    <row r="30" spans="1:44" s="2" customFormat="1" ht="12.75" customHeight="1">
      <c r="A30" s="15">
        <v>36070</v>
      </c>
      <c r="B30" t="s">
        <v>61</v>
      </c>
      <c r="C30" s="13">
        <v>25</v>
      </c>
      <c r="D30" t="s">
        <v>55</v>
      </c>
      <c r="E30" t="s">
        <v>131</v>
      </c>
      <c r="F30">
        <v>1998</v>
      </c>
      <c r="G30" t="s">
        <v>16</v>
      </c>
      <c r="H30">
        <v>11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>
        <f t="shared" si="0"/>
        <v>11</v>
      </c>
      <c r="AK30">
        <v>1</v>
      </c>
      <c r="AL30" s="23">
        <v>1.6</v>
      </c>
      <c r="AM30"/>
      <c r="AN30"/>
      <c r="AO30"/>
      <c r="AP30"/>
      <c r="AQ30"/>
      <c r="AR30"/>
    </row>
    <row r="31" spans="1:44" s="2" customFormat="1" ht="12.75" customHeight="1">
      <c r="A31" s="15">
        <v>36070</v>
      </c>
      <c r="B31" t="s">
        <v>62</v>
      </c>
      <c r="C31" s="13">
        <v>24.5</v>
      </c>
      <c r="D31" t="s">
        <v>56</v>
      </c>
      <c r="E31" t="s">
        <v>130</v>
      </c>
      <c r="F31">
        <v>1998</v>
      </c>
      <c r="G31" t="s">
        <v>16</v>
      </c>
      <c r="H31">
        <v>7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>
        <f t="shared" si="0"/>
        <v>7</v>
      </c>
      <c r="AK31">
        <v>1</v>
      </c>
      <c r="AL31" s="23">
        <v>1.4</v>
      </c>
      <c r="AM31"/>
      <c r="AN31"/>
      <c r="AO31"/>
      <c r="AP31"/>
      <c r="AQ31"/>
      <c r="AR31"/>
    </row>
    <row r="32" spans="1:44" s="2" customFormat="1" ht="12.75" customHeight="1">
      <c r="A32" s="14">
        <v>36080</v>
      </c>
      <c r="B32" s="2" t="s">
        <v>60</v>
      </c>
      <c r="C32" s="2">
        <v>12</v>
      </c>
      <c r="D32" t="s">
        <v>55</v>
      </c>
      <c r="E32" t="s">
        <v>131</v>
      </c>
      <c r="F32">
        <v>1998</v>
      </c>
      <c r="G32" t="s">
        <v>16</v>
      </c>
      <c r="H32" s="2">
        <v>85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>
        <f t="shared" si="0"/>
        <v>85</v>
      </c>
      <c r="AK32" s="2">
        <v>1</v>
      </c>
      <c r="AL32" s="31">
        <v>1.2</v>
      </c>
      <c r="AO32"/>
      <c r="AP32"/>
      <c r="AQ32"/>
      <c r="AR32"/>
    </row>
    <row r="33" spans="1:44" s="2" customFormat="1" ht="12.75" customHeight="1">
      <c r="A33" s="14">
        <v>36080</v>
      </c>
      <c r="B33" s="2" t="s">
        <v>61</v>
      </c>
      <c r="C33" s="2">
        <v>13</v>
      </c>
      <c r="D33" t="s">
        <v>55</v>
      </c>
      <c r="E33" t="s">
        <v>131</v>
      </c>
      <c r="F33">
        <v>1998</v>
      </c>
      <c r="G33" t="s">
        <v>16</v>
      </c>
      <c r="H33" s="2">
        <v>22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>
        <f t="shared" si="0"/>
        <v>22</v>
      </c>
      <c r="AK33" s="2">
        <v>1</v>
      </c>
      <c r="AL33" s="31">
        <v>1.3</v>
      </c>
      <c r="AQ33"/>
      <c r="AR33"/>
    </row>
    <row r="34" spans="1:44" s="2" customFormat="1" ht="12.75" customHeight="1">
      <c r="A34" s="14">
        <v>36080</v>
      </c>
      <c r="B34" s="2" t="s">
        <v>62</v>
      </c>
      <c r="C34" s="2">
        <v>13</v>
      </c>
      <c r="D34" t="s">
        <v>56</v>
      </c>
      <c r="E34" t="s">
        <v>130</v>
      </c>
      <c r="F34">
        <v>1998</v>
      </c>
      <c r="G34" t="s">
        <v>16</v>
      </c>
      <c r="H34" s="2">
        <v>2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>
        <f t="shared" si="0"/>
        <v>2</v>
      </c>
      <c r="AK34" s="2">
        <v>1</v>
      </c>
      <c r="AL34" s="31">
        <v>1.3</v>
      </c>
      <c r="AQ34"/>
      <c r="AR34"/>
    </row>
    <row r="35" spans="1:44" s="2" customFormat="1" ht="12.75" customHeight="1">
      <c r="A35" s="14">
        <v>36081</v>
      </c>
      <c r="B35" s="2" t="s">
        <v>60</v>
      </c>
      <c r="C35" s="2">
        <v>11</v>
      </c>
      <c r="D35" t="s">
        <v>55</v>
      </c>
      <c r="E35" t="s">
        <v>131</v>
      </c>
      <c r="F35">
        <v>1998</v>
      </c>
      <c r="G35" t="s">
        <v>16</v>
      </c>
      <c r="H35" s="2">
        <v>18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>
        <f t="shared" si="0"/>
        <v>18</v>
      </c>
      <c r="AK35" s="2">
        <v>1</v>
      </c>
      <c r="AL35" s="31">
        <v>1.1000000000000001</v>
      </c>
    </row>
    <row r="36" spans="1:44" s="2" customFormat="1" ht="12.75" customHeight="1">
      <c r="A36" s="14">
        <v>36081</v>
      </c>
      <c r="B36" s="2" t="s">
        <v>61</v>
      </c>
      <c r="C36" s="2">
        <v>10</v>
      </c>
      <c r="D36" t="s">
        <v>55</v>
      </c>
      <c r="E36" t="s">
        <v>131</v>
      </c>
      <c r="F36">
        <v>1998</v>
      </c>
      <c r="G36" t="s">
        <v>16</v>
      </c>
      <c r="H36" s="2">
        <v>83</v>
      </c>
      <c r="I36"/>
      <c r="J36" s="2">
        <v>1</v>
      </c>
      <c r="K36"/>
      <c r="L36"/>
      <c r="M36"/>
      <c r="N36"/>
      <c r="O36"/>
      <c r="P36"/>
      <c r="Q36"/>
      <c r="R36" s="2">
        <v>1</v>
      </c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>
        <f t="shared" si="0"/>
        <v>85</v>
      </c>
      <c r="AK36" s="2">
        <v>3</v>
      </c>
      <c r="AL36" s="31">
        <v>1.2</v>
      </c>
      <c r="AO36" s="9"/>
    </row>
    <row r="37" spans="1:44" ht="12.75" customHeight="1">
      <c r="A37" s="14">
        <v>36081</v>
      </c>
      <c r="B37" s="2" t="s">
        <v>62</v>
      </c>
      <c r="C37" s="2">
        <v>11</v>
      </c>
      <c r="D37" t="s">
        <v>56</v>
      </c>
      <c r="E37" t="s">
        <v>130</v>
      </c>
      <c r="F37">
        <v>1998</v>
      </c>
      <c r="G37" t="s">
        <v>16</v>
      </c>
      <c r="H37" s="2">
        <v>2</v>
      </c>
      <c r="L37"/>
      <c r="M37"/>
      <c r="AJ37">
        <f t="shared" si="0"/>
        <v>2</v>
      </c>
      <c r="AK37" s="2">
        <v>1</v>
      </c>
      <c r="AL37" s="31">
        <v>1.1000000000000001</v>
      </c>
      <c r="AM37" s="2"/>
      <c r="AN37" s="2"/>
    </row>
    <row r="38" spans="1:44" ht="12.75" customHeight="1">
      <c r="A38" s="14">
        <v>36082</v>
      </c>
      <c r="B38" s="2" t="s">
        <v>60</v>
      </c>
      <c r="C38" s="2">
        <v>11</v>
      </c>
      <c r="D38" t="s">
        <v>55</v>
      </c>
      <c r="E38" t="s">
        <v>131</v>
      </c>
      <c r="F38">
        <v>1998</v>
      </c>
      <c r="G38" t="s">
        <v>16</v>
      </c>
      <c r="H38" s="2">
        <v>9</v>
      </c>
      <c r="K38" s="2">
        <v>1</v>
      </c>
      <c r="L38" s="2"/>
      <c r="M38" s="2"/>
      <c r="N38" s="2"/>
      <c r="O38" s="2"/>
      <c r="P38" s="2"/>
      <c r="Q38" s="2"/>
      <c r="R38" s="2">
        <v>2</v>
      </c>
      <c r="V38" s="2">
        <v>2</v>
      </c>
      <c r="Y38" s="2">
        <v>1</v>
      </c>
      <c r="AJ38">
        <f t="shared" si="0"/>
        <v>15</v>
      </c>
      <c r="AK38" s="2">
        <v>4</v>
      </c>
      <c r="AL38" s="31">
        <v>1.2</v>
      </c>
      <c r="AM38" s="2"/>
      <c r="AN38" s="2"/>
    </row>
    <row r="39" spans="1:44" ht="12.75" customHeight="1">
      <c r="A39" s="14">
        <v>36082</v>
      </c>
      <c r="B39" s="2" t="s">
        <v>61</v>
      </c>
      <c r="C39" s="2">
        <v>11</v>
      </c>
      <c r="D39" t="s">
        <v>55</v>
      </c>
      <c r="E39" t="s">
        <v>131</v>
      </c>
      <c r="F39">
        <v>1998</v>
      </c>
      <c r="G39" t="s">
        <v>16</v>
      </c>
      <c r="H39" s="2">
        <v>9</v>
      </c>
      <c r="L39"/>
      <c r="M39"/>
      <c r="AJ39">
        <f t="shared" si="0"/>
        <v>9</v>
      </c>
      <c r="AK39" s="2">
        <v>1</v>
      </c>
      <c r="AL39" s="31">
        <v>1.3</v>
      </c>
      <c r="AM39" s="2"/>
      <c r="AN39" s="2"/>
    </row>
    <row r="40" spans="1:44" ht="12.75" customHeight="1">
      <c r="A40" s="14">
        <v>36082</v>
      </c>
      <c r="B40" s="2" t="s">
        <v>62</v>
      </c>
      <c r="C40" s="2">
        <v>11</v>
      </c>
      <c r="D40" t="s">
        <v>56</v>
      </c>
      <c r="E40" t="s">
        <v>130</v>
      </c>
      <c r="F40">
        <v>1998</v>
      </c>
      <c r="G40" t="s">
        <v>16</v>
      </c>
      <c r="H40" s="2"/>
      <c r="L40"/>
      <c r="M40"/>
      <c r="AJ40">
        <f t="shared" ref="AJ40:AJ71" si="1">SUM(H40:AI40)</f>
        <v>0</v>
      </c>
      <c r="AK40" s="2">
        <v>0</v>
      </c>
      <c r="AL40" s="31"/>
      <c r="AM40" s="2"/>
      <c r="AN40" s="2"/>
    </row>
    <row r="41" spans="1:44" ht="12.75" customHeight="1">
      <c r="A41" s="15">
        <v>36452</v>
      </c>
      <c r="B41" t="s">
        <v>60</v>
      </c>
      <c r="C41" s="13">
        <v>20</v>
      </c>
      <c r="D41" t="s">
        <v>55</v>
      </c>
      <c r="E41" t="s">
        <v>131</v>
      </c>
      <c r="F41">
        <v>1999</v>
      </c>
      <c r="G41" t="s">
        <v>16</v>
      </c>
      <c r="H41">
        <v>86</v>
      </c>
      <c r="L41"/>
      <c r="M41"/>
      <c r="AJ41">
        <f t="shared" si="1"/>
        <v>86</v>
      </c>
      <c r="AL41" s="23">
        <v>1.91</v>
      </c>
      <c r="AO41" s="2"/>
      <c r="AP41" s="2"/>
    </row>
    <row r="42" spans="1:44" ht="12" customHeight="1">
      <c r="A42" s="15">
        <v>36452</v>
      </c>
      <c r="B42" t="s">
        <v>61</v>
      </c>
      <c r="C42" s="13">
        <v>21.5</v>
      </c>
      <c r="D42" t="s">
        <v>55</v>
      </c>
      <c r="E42" t="s">
        <v>131</v>
      </c>
      <c r="F42">
        <v>1999</v>
      </c>
      <c r="G42" t="s">
        <v>16</v>
      </c>
      <c r="H42">
        <v>138</v>
      </c>
      <c r="L42"/>
      <c r="M42"/>
      <c r="AJ42">
        <f t="shared" si="1"/>
        <v>138</v>
      </c>
      <c r="AL42" s="23">
        <v>1.95</v>
      </c>
      <c r="AO42" s="2"/>
      <c r="AP42" s="2"/>
    </row>
    <row r="43" spans="1:44">
      <c r="A43" s="15">
        <v>36452</v>
      </c>
      <c r="B43" t="s">
        <v>62</v>
      </c>
      <c r="C43" s="13">
        <v>21.5</v>
      </c>
      <c r="D43" t="s">
        <v>56</v>
      </c>
      <c r="E43" t="s">
        <v>130</v>
      </c>
      <c r="F43">
        <v>1999</v>
      </c>
      <c r="G43" t="s">
        <v>16</v>
      </c>
      <c r="L43"/>
      <c r="M43"/>
      <c r="AJ43">
        <f t="shared" si="1"/>
        <v>0</v>
      </c>
      <c r="AO43" s="2"/>
      <c r="AP43" s="2"/>
    </row>
    <row r="44" spans="1:44">
      <c r="A44" s="15">
        <v>36454</v>
      </c>
      <c r="B44" t="s">
        <v>61</v>
      </c>
      <c r="C44" s="13">
        <v>0</v>
      </c>
      <c r="D44" t="s">
        <v>55</v>
      </c>
      <c r="E44" t="s">
        <v>131</v>
      </c>
      <c r="F44">
        <v>1999</v>
      </c>
      <c r="G44" t="s">
        <v>16</v>
      </c>
      <c r="H44">
        <v>72</v>
      </c>
      <c r="L44"/>
      <c r="M44"/>
      <c r="AJ44">
        <f t="shared" si="1"/>
        <v>72</v>
      </c>
      <c r="AL44" s="23">
        <v>2.15</v>
      </c>
      <c r="AM44" s="13"/>
      <c r="AN44" s="13"/>
      <c r="AO44" s="9"/>
      <c r="AP44" s="2"/>
    </row>
    <row r="45" spans="1:44">
      <c r="A45" s="15">
        <v>36454</v>
      </c>
      <c r="B45" t="s">
        <v>62</v>
      </c>
      <c r="C45" s="13"/>
      <c r="D45" t="s">
        <v>56</v>
      </c>
      <c r="E45" t="s">
        <v>130</v>
      </c>
      <c r="F45">
        <v>1999</v>
      </c>
      <c r="G45" t="s">
        <v>16</v>
      </c>
      <c r="H45">
        <v>12</v>
      </c>
      <c r="L45"/>
      <c r="M45"/>
      <c r="AJ45">
        <f t="shared" si="1"/>
        <v>12</v>
      </c>
      <c r="AL45" s="23">
        <v>1.25</v>
      </c>
      <c r="AM45" s="13"/>
      <c r="AN45" s="13"/>
    </row>
    <row r="46" spans="1:44">
      <c r="A46" s="15">
        <v>36454</v>
      </c>
      <c r="B46" t="s">
        <v>59</v>
      </c>
      <c r="C46" s="13"/>
      <c r="D46" t="s">
        <v>138</v>
      </c>
      <c r="E46" t="s">
        <v>115</v>
      </c>
      <c r="F46">
        <v>1999</v>
      </c>
      <c r="G46" t="s">
        <v>16</v>
      </c>
      <c r="L46"/>
      <c r="M46"/>
      <c r="AJ46">
        <f t="shared" si="1"/>
        <v>0</v>
      </c>
      <c r="AM46" s="13"/>
      <c r="AN46" s="13"/>
      <c r="AO46" s="2"/>
      <c r="AP46" s="2"/>
    </row>
    <row r="47" spans="1:44">
      <c r="A47" s="15">
        <v>36454</v>
      </c>
      <c r="B47" t="s">
        <v>58</v>
      </c>
      <c r="C47" s="13">
        <v>23.5</v>
      </c>
      <c r="D47" t="s">
        <v>138</v>
      </c>
      <c r="E47" t="s">
        <v>115</v>
      </c>
      <c r="F47">
        <v>1999</v>
      </c>
      <c r="G47" t="s">
        <v>16</v>
      </c>
      <c r="H47">
        <v>285</v>
      </c>
      <c r="L47"/>
      <c r="M47"/>
      <c r="AJ47">
        <f t="shared" si="1"/>
        <v>285</v>
      </c>
      <c r="AL47" s="23">
        <v>1.8</v>
      </c>
      <c r="AM47" s="13"/>
      <c r="AN47" s="13"/>
    </row>
    <row r="48" spans="1:44">
      <c r="A48" s="15">
        <v>36458</v>
      </c>
      <c r="B48" t="s">
        <v>63</v>
      </c>
      <c r="C48" s="13">
        <v>20</v>
      </c>
      <c r="D48" t="s">
        <v>55</v>
      </c>
      <c r="E48" t="s">
        <v>131</v>
      </c>
      <c r="F48">
        <v>1999</v>
      </c>
      <c r="G48" t="s">
        <v>16</v>
      </c>
      <c r="L48"/>
      <c r="M48"/>
      <c r="AJ48">
        <f t="shared" si="1"/>
        <v>0</v>
      </c>
      <c r="AL48" s="23">
        <v>3.21</v>
      </c>
    </row>
    <row r="49" spans="1:41">
      <c r="A49" s="15">
        <v>36458</v>
      </c>
      <c r="B49" t="s">
        <v>62</v>
      </c>
      <c r="C49" s="13">
        <v>3.5</v>
      </c>
      <c r="D49" t="s">
        <v>56</v>
      </c>
      <c r="E49" t="s">
        <v>130</v>
      </c>
      <c r="F49">
        <v>1999</v>
      </c>
      <c r="G49" t="s">
        <v>16</v>
      </c>
      <c r="H49">
        <v>13</v>
      </c>
      <c r="L49"/>
      <c r="M49"/>
      <c r="AJ49">
        <f t="shared" si="1"/>
        <v>13</v>
      </c>
      <c r="AL49" s="23">
        <v>2.84</v>
      </c>
    </row>
    <row r="50" spans="1:41">
      <c r="A50" s="15">
        <v>36458</v>
      </c>
      <c r="B50" t="s">
        <v>59</v>
      </c>
      <c r="C50" s="13">
        <v>2.5</v>
      </c>
      <c r="D50" t="s">
        <v>138</v>
      </c>
      <c r="E50" t="s">
        <v>115</v>
      </c>
      <c r="F50">
        <v>1999</v>
      </c>
      <c r="G50" t="s">
        <v>16</v>
      </c>
      <c r="H50">
        <v>74</v>
      </c>
      <c r="L50"/>
      <c r="M50"/>
      <c r="AJ50">
        <f t="shared" si="1"/>
        <v>74</v>
      </c>
      <c r="AL50" s="23">
        <v>2.2200000000000002</v>
      </c>
    </row>
    <row r="51" spans="1:41">
      <c r="A51" s="15">
        <v>36458</v>
      </c>
      <c r="B51" t="s">
        <v>58</v>
      </c>
      <c r="C51" s="13"/>
      <c r="D51" t="s">
        <v>138</v>
      </c>
      <c r="E51" t="s">
        <v>115</v>
      </c>
      <c r="F51">
        <v>1999</v>
      </c>
      <c r="G51" t="s">
        <v>16</v>
      </c>
      <c r="H51">
        <v>21</v>
      </c>
      <c r="L51"/>
      <c r="M51"/>
      <c r="Q51">
        <v>1</v>
      </c>
      <c r="AJ51">
        <f t="shared" si="1"/>
        <v>22</v>
      </c>
      <c r="AL51" s="23">
        <v>3.81</v>
      </c>
    </row>
    <row r="52" spans="1:41">
      <c r="A52" s="15">
        <v>36459</v>
      </c>
      <c r="B52" t="s">
        <v>60</v>
      </c>
      <c r="C52" s="13">
        <v>26</v>
      </c>
      <c r="D52" t="s">
        <v>55</v>
      </c>
      <c r="E52" t="s">
        <v>131</v>
      </c>
      <c r="F52">
        <v>1999</v>
      </c>
      <c r="G52" t="s">
        <v>16</v>
      </c>
      <c r="H52">
        <v>24</v>
      </c>
      <c r="L52"/>
      <c r="M52"/>
      <c r="Y52">
        <v>1</v>
      </c>
      <c r="AJ52">
        <f t="shared" si="1"/>
        <v>25</v>
      </c>
      <c r="AL52" s="23">
        <v>2.54</v>
      </c>
    </row>
    <row r="53" spans="1:41">
      <c r="A53" s="15">
        <v>36459</v>
      </c>
      <c r="B53" t="s">
        <v>61</v>
      </c>
      <c r="C53" s="13">
        <v>26</v>
      </c>
      <c r="D53" t="s">
        <v>55</v>
      </c>
      <c r="E53" t="s">
        <v>131</v>
      </c>
      <c r="F53">
        <v>1999</v>
      </c>
      <c r="G53" t="s">
        <v>16</v>
      </c>
      <c r="H53">
        <v>23</v>
      </c>
      <c r="L53"/>
      <c r="M53"/>
      <c r="AJ53">
        <f t="shared" si="1"/>
        <v>23</v>
      </c>
      <c r="AL53" s="23">
        <v>2.6</v>
      </c>
    </row>
    <row r="54" spans="1:41">
      <c r="A54" s="15">
        <v>36459</v>
      </c>
      <c r="B54" t="s">
        <v>63</v>
      </c>
      <c r="C54" s="13">
        <v>18.5</v>
      </c>
      <c r="D54" t="s">
        <v>55</v>
      </c>
      <c r="E54" t="s">
        <v>131</v>
      </c>
      <c r="F54">
        <v>1999</v>
      </c>
      <c r="G54" t="s">
        <v>16</v>
      </c>
      <c r="H54">
        <v>38</v>
      </c>
      <c r="L54"/>
      <c r="M54"/>
      <c r="AJ54">
        <f t="shared" si="1"/>
        <v>38</v>
      </c>
      <c r="AL54" s="23">
        <v>3.3</v>
      </c>
    </row>
    <row r="55" spans="1:41">
      <c r="A55" s="15">
        <v>36459</v>
      </c>
      <c r="B55" t="s">
        <v>62</v>
      </c>
      <c r="C55" s="13">
        <v>19.5</v>
      </c>
      <c r="D55" t="s">
        <v>56</v>
      </c>
      <c r="E55" t="s">
        <v>130</v>
      </c>
      <c r="F55">
        <v>1999</v>
      </c>
      <c r="G55" t="s">
        <v>16</v>
      </c>
      <c r="H55">
        <v>8</v>
      </c>
      <c r="L55"/>
      <c r="M55"/>
      <c r="V55">
        <v>1</v>
      </c>
      <c r="AJ55">
        <f t="shared" si="1"/>
        <v>9</v>
      </c>
      <c r="AL55" s="23">
        <v>2.5</v>
      </c>
    </row>
    <row r="56" spans="1:41">
      <c r="A56" s="15">
        <v>36459</v>
      </c>
      <c r="B56" t="s">
        <v>59</v>
      </c>
      <c r="C56" s="13">
        <v>18.5</v>
      </c>
      <c r="D56" t="s">
        <v>138</v>
      </c>
      <c r="E56" t="s">
        <v>115</v>
      </c>
      <c r="F56">
        <v>1999</v>
      </c>
      <c r="G56" t="s">
        <v>16</v>
      </c>
      <c r="H56">
        <v>234</v>
      </c>
      <c r="L56"/>
      <c r="M56"/>
      <c r="AJ56">
        <f t="shared" si="1"/>
        <v>234</v>
      </c>
      <c r="AL56" s="23">
        <v>2.48</v>
      </c>
    </row>
    <row r="57" spans="1:41">
      <c r="A57" s="15">
        <v>36459</v>
      </c>
      <c r="B57" t="s">
        <v>58</v>
      </c>
      <c r="C57" s="13">
        <v>18.5</v>
      </c>
      <c r="D57" t="s">
        <v>138</v>
      </c>
      <c r="E57" t="s">
        <v>115</v>
      </c>
      <c r="F57">
        <v>1999</v>
      </c>
      <c r="G57" t="s">
        <v>16</v>
      </c>
      <c r="H57">
        <v>341</v>
      </c>
      <c r="L57"/>
      <c r="M57"/>
      <c r="AJ57">
        <f t="shared" si="1"/>
        <v>341</v>
      </c>
      <c r="AL57" s="23">
        <v>2.41</v>
      </c>
    </row>
    <row r="58" spans="1:41">
      <c r="A58" s="15">
        <v>36460</v>
      </c>
      <c r="B58" t="s">
        <v>63</v>
      </c>
      <c r="C58" s="13">
        <v>25.5</v>
      </c>
      <c r="D58" t="s">
        <v>55</v>
      </c>
      <c r="E58" t="s">
        <v>131</v>
      </c>
      <c r="F58">
        <v>1999</v>
      </c>
      <c r="G58" t="s">
        <v>16</v>
      </c>
      <c r="H58">
        <v>96</v>
      </c>
      <c r="L58"/>
      <c r="M58"/>
      <c r="Y58">
        <v>3</v>
      </c>
      <c r="AJ58">
        <f t="shared" si="1"/>
        <v>99</v>
      </c>
      <c r="AL58" s="23">
        <v>2.86</v>
      </c>
    </row>
    <row r="59" spans="1:41">
      <c r="A59" s="15">
        <v>36668</v>
      </c>
      <c r="B59" t="s">
        <v>59</v>
      </c>
      <c r="D59" t="s">
        <v>138</v>
      </c>
      <c r="E59" t="s">
        <v>115</v>
      </c>
      <c r="F59">
        <v>2000</v>
      </c>
      <c r="G59" t="s">
        <v>15</v>
      </c>
      <c r="H59">
        <v>155</v>
      </c>
      <c r="J59">
        <v>3</v>
      </c>
      <c r="L59"/>
      <c r="M59"/>
      <c r="AJ59">
        <f t="shared" si="1"/>
        <v>158</v>
      </c>
      <c r="AK59">
        <v>2</v>
      </c>
      <c r="AL59" s="23">
        <v>3.3</v>
      </c>
    </row>
    <row r="60" spans="1:41">
      <c r="A60" s="15">
        <v>36668</v>
      </c>
      <c r="B60" t="s">
        <v>60</v>
      </c>
      <c r="D60" t="s">
        <v>55</v>
      </c>
      <c r="E60" t="s">
        <v>131</v>
      </c>
      <c r="F60">
        <v>2000</v>
      </c>
      <c r="G60" t="s">
        <v>15</v>
      </c>
      <c r="H60">
        <v>68</v>
      </c>
      <c r="L60"/>
      <c r="M60"/>
      <c r="AJ60">
        <f t="shared" si="1"/>
        <v>68</v>
      </c>
      <c r="AK60">
        <v>1</v>
      </c>
      <c r="AL60" s="23">
        <v>2.57</v>
      </c>
    </row>
    <row r="61" spans="1:41">
      <c r="A61" s="15">
        <v>36668</v>
      </c>
      <c r="B61" t="s">
        <v>61</v>
      </c>
      <c r="D61" t="s">
        <v>55</v>
      </c>
      <c r="E61" t="s">
        <v>131</v>
      </c>
      <c r="F61">
        <v>2000</v>
      </c>
      <c r="G61" t="s">
        <v>15</v>
      </c>
      <c r="H61">
        <v>97</v>
      </c>
      <c r="L61"/>
      <c r="M61"/>
      <c r="AJ61">
        <f t="shared" si="1"/>
        <v>97</v>
      </c>
      <c r="AK61">
        <v>1</v>
      </c>
      <c r="AL61" s="23">
        <v>2.57</v>
      </c>
    </row>
    <row r="62" spans="1:41">
      <c r="A62" s="15">
        <v>36668</v>
      </c>
      <c r="B62" t="s">
        <v>62</v>
      </c>
      <c r="D62" t="s">
        <v>56</v>
      </c>
      <c r="E62" t="s">
        <v>130</v>
      </c>
      <c r="F62">
        <v>2000</v>
      </c>
      <c r="G62" t="s">
        <v>15</v>
      </c>
      <c r="H62">
        <v>4</v>
      </c>
      <c r="L62"/>
      <c r="M62"/>
      <c r="W62">
        <v>3</v>
      </c>
      <c r="AJ62">
        <f t="shared" si="1"/>
        <v>7</v>
      </c>
      <c r="AK62">
        <v>2</v>
      </c>
      <c r="AL62" s="23">
        <v>5</v>
      </c>
      <c r="AO62" s="1"/>
    </row>
    <row r="63" spans="1:41">
      <c r="A63" s="15">
        <v>36669</v>
      </c>
      <c r="B63" t="s">
        <v>59</v>
      </c>
      <c r="D63" t="s">
        <v>138</v>
      </c>
      <c r="E63" t="s">
        <v>115</v>
      </c>
      <c r="F63">
        <v>2000</v>
      </c>
      <c r="G63" t="s">
        <v>15</v>
      </c>
      <c r="H63">
        <v>184</v>
      </c>
      <c r="L63"/>
      <c r="M63"/>
      <c r="AJ63">
        <f t="shared" si="1"/>
        <v>184</v>
      </c>
      <c r="AK63">
        <v>1</v>
      </c>
      <c r="AL63" s="23">
        <v>5</v>
      </c>
    </row>
    <row r="64" spans="1:41">
      <c r="A64" s="15">
        <v>36669</v>
      </c>
      <c r="B64" t="s">
        <v>58</v>
      </c>
      <c r="D64" t="s">
        <v>138</v>
      </c>
      <c r="E64" t="s">
        <v>115</v>
      </c>
      <c r="F64">
        <v>2000</v>
      </c>
      <c r="G64" t="s">
        <v>15</v>
      </c>
      <c r="H64">
        <v>229</v>
      </c>
      <c r="L64"/>
      <c r="M64"/>
      <c r="AJ64">
        <f t="shared" si="1"/>
        <v>229</v>
      </c>
      <c r="AK64">
        <v>1</v>
      </c>
      <c r="AL64" s="23">
        <v>5</v>
      </c>
    </row>
    <row r="65" spans="1:46">
      <c r="A65" s="15">
        <v>36669</v>
      </c>
      <c r="B65" t="s">
        <v>60</v>
      </c>
      <c r="D65" t="s">
        <v>55</v>
      </c>
      <c r="E65" t="s">
        <v>131</v>
      </c>
      <c r="F65">
        <v>2000</v>
      </c>
      <c r="G65" t="s">
        <v>15</v>
      </c>
      <c r="H65">
        <v>87</v>
      </c>
      <c r="L65"/>
      <c r="M65"/>
      <c r="AJ65">
        <f t="shared" si="1"/>
        <v>87</v>
      </c>
      <c r="AK65">
        <v>1</v>
      </c>
      <c r="AL65" s="23">
        <v>3.32</v>
      </c>
    </row>
    <row r="66" spans="1:46">
      <c r="A66" s="15">
        <v>36669</v>
      </c>
      <c r="B66" t="s">
        <v>61</v>
      </c>
      <c r="D66" t="s">
        <v>55</v>
      </c>
      <c r="E66" t="s">
        <v>131</v>
      </c>
      <c r="F66">
        <v>2000</v>
      </c>
      <c r="G66" t="s">
        <v>15</v>
      </c>
      <c r="H66">
        <v>16</v>
      </c>
      <c r="L66"/>
      <c r="M66"/>
      <c r="AJ66">
        <f t="shared" si="1"/>
        <v>16</v>
      </c>
      <c r="AK66">
        <v>1</v>
      </c>
      <c r="AL66" s="23">
        <v>2.35</v>
      </c>
    </row>
    <row r="67" spans="1:46">
      <c r="A67" s="15">
        <v>36669</v>
      </c>
      <c r="B67" t="s">
        <v>63</v>
      </c>
      <c r="D67" t="s">
        <v>55</v>
      </c>
      <c r="E67" t="s">
        <v>131</v>
      </c>
      <c r="F67">
        <v>2000</v>
      </c>
      <c r="G67" t="s">
        <v>15</v>
      </c>
      <c r="L67"/>
      <c r="M67"/>
      <c r="AJ67">
        <f t="shared" si="1"/>
        <v>0</v>
      </c>
      <c r="AK67">
        <v>0</v>
      </c>
    </row>
    <row r="68" spans="1:46">
      <c r="A68" s="15">
        <v>36669</v>
      </c>
      <c r="B68" t="s">
        <v>62</v>
      </c>
      <c r="D68" t="s">
        <v>56</v>
      </c>
      <c r="E68" t="s">
        <v>130</v>
      </c>
      <c r="F68">
        <v>2000</v>
      </c>
      <c r="G68" t="s">
        <v>15</v>
      </c>
      <c r="H68">
        <v>1</v>
      </c>
      <c r="L68"/>
      <c r="M68"/>
      <c r="AI68">
        <v>1</v>
      </c>
      <c r="AJ68">
        <f t="shared" si="1"/>
        <v>2</v>
      </c>
      <c r="AK68">
        <v>2</v>
      </c>
      <c r="AL68" s="23">
        <v>2.5</v>
      </c>
    </row>
    <row r="69" spans="1:46" ht="12.75" customHeight="1">
      <c r="A69" s="15">
        <v>36671</v>
      </c>
      <c r="B69" t="s">
        <v>59</v>
      </c>
      <c r="D69" t="s">
        <v>138</v>
      </c>
      <c r="E69" t="s">
        <v>115</v>
      </c>
      <c r="F69">
        <v>2000</v>
      </c>
      <c r="G69" t="s">
        <v>15</v>
      </c>
      <c r="H69">
        <v>89</v>
      </c>
      <c r="J69">
        <v>1</v>
      </c>
      <c r="L69"/>
      <c r="M69"/>
      <c r="AJ69">
        <f t="shared" si="1"/>
        <v>90</v>
      </c>
      <c r="AK69">
        <v>2</v>
      </c>
      <c r="AL69" s="23">
        <v>2.2000000000000002</v>
      </c>
    </row>
    <row r="70" spans="1:46" ht="12.75" customHeight="1">
      <c r="A70" s="15">
        <v>36671</v>
      </c>
      <c r="B70" t="s">
        <v>58</v>
      </c>
      <c r="D70" t="s">
        <v>138</v>
      </c>
      <c r="E70" t="s">
        <v>115</v>
      </c>
      <c r="F70">
        <v>2000</v>
      </c>
      <c r="G70" t="s">
        <v>15</v>
      </c>
      <c r="H70">
        <v>215</v>
      </c>
      <c r="L70"/>
      <c r="M70"/>
      <c r="V70">
        <v>1</v>
      </c>
      <c r="AJ70">
        <f t="shared" si="1"/>
        <v>216</v>
      </c>
      <c r="AK70">
        <v>2</v>
      </c>
      <c r="AL70" s="23">
        <v>4.3</v>
      </c>
      <c r="AT70" s="10"/>
    </row>
    <row r="71" spans="1:46">
      <c r="A71" s="15">
        <v>36671</v>
      </c>
      <c r="B71" t="s">
        <v>60</v>
      </c>
      <c r="D71" t="s">
        <v>55</v>
      </c>
      <c r="E71" t="s">
        <v>131</v>
      </c>
      <c r="F71">
        <v>2000</v>
      </c>
      <c r="G71" t="s">
        <v>15</v>
      </c>
      <c r="L71"/>
      <c r="M71"/>
      <c r="AJ71">
        <f t="shared" si="1"/>
        <v>0</v>
      </c>
      <c r="AK71">
        <v>0</v>
      </c>
    </row>
    <row r="72" spans="1:46">
      <c r="A72" s="15">
        <v>36671</v>
      </c>
      <c r="B72" t="s">
        <v>61</v>
      </c>
      <c r="D72" t="s">
        <v>55</v>
      </c>
      <c r="E72" t="s">
        <v>131</v>
      </c>
      <c r="F72">
        <v>2000</v>
      </c>
      <c r="G72" t="s">
        <v>15</v>
      </c>
      <c r="H72">
        <v>2</v>
      </c>
      <c r="L72"/>
      <c r="M72"/>
      <c r="AJ72">
        <f t="shared" ref="AJ72:AJ103" si="2">SUM(H72:AI72)</f>
        <v>2</v>
      </c>
      <c r="AK72">
        <v>1</v>
      </c>
    </row>
    <row r="73" spans="1:46">
      <c r="A73" s="15">
        <v>36671</v>
      </c>
      <c r="B73" t="s">
        <v>63</v>
      </c>
      <c r="D73" t="s">
        <v>55</v>
      </c>
      <c r="E73" t="s">
        <v>131</v>
      </c>
      <c r="F73">
        <v>2000</v>
      </c>
      <c r="G73" t="s">
        <v>15</v>
      </c>
      <c r="H73">
        <v>4</v>
      </c>
      <c r="L73"/>
      <c r="M73"/>
      <c r="AJ73">
        <f t="shared" si="2"/>
        <v>4</v>
      </c>
      <c r="AK73">
        <v>1</v>
      </c>
    </row>
    <row r="74" spans="1:46">
      <c r="A74" s="15">
        <v>36671</v>
      </c>
      <c r="B74" t="s">
        <v>62</v>
      </c>
      <c r="D74" t="s">
        <v>56</v>
      </c>
      <c r="E74" t="s">
        <v>130</v>
      </c>
      <c r="F74">
        <v>2000</v>
      </c>
      <c r="G74" t="s">
        <v>15</v>
      </c>
      <c r="L74"/>
      <c r="M74"/>
      <c r="AJ74">
        <f t="shared" si="2"/>
        <v>0</v>
      </c>
      <c r="AK74">
        <v>0</v>
      </c>
    </row>
    <row r="75" spans="1:46">
      <c r="A75" s="15">
        <v>36672</v>
      </c>
      <c r="B75" t="s">
        <v>63</v>
      </c>
      <c r="D75" t="s">
        <v>55</v>
      </c>
      <c r="E75" t="s">
        <v>131</v>
      </c>
      <c r="F75">
        <v>2000</v>
      </c>
      <c r="G75" t="s">
        <v>15</v>
      </c>
      <c r="H75">
        <v>66</v>
      </c>
      <c r="L75"/>
      <c r="M75"/>
      <c r="AJ75">
        <f t="shared" si="2"/>
        <v>66</v>
      </c>
      <c r="AK75">
        <v>1</v>
      </c>
      <c r="AL75" s="23">
        <v>2.7</v>
      </c>
    </row>
    <row r="76" spans="1:46">
      <c r="A76" s="15">
        <v>36672</v>
      </c>
      <c r="B76" t="s">
        <v>62</v>
      </c>
      <c r="D76" t="s">
        <v>56</v>
      </c>
      <c r="E76" t="s">
        <v>130</v>
      </c>
      <c r="F76">
        <v>2000</v>
      </c>
      <c r="G76" t="s">
        <v>15</v>
      </c>
      <c r="L76"/>
      <c r="M76"/>
      <c r="AJ76">
        <f t="shared" si="2"/>
        <v>0</v>
      </c>
      <c r="AK76">
        <v>0</v>
      </c>
    </row>
    <row r="77" spans="1:46">
      <c r="A77" s="15">
        <v>36787</v>
      </c>
      <c r="B77" t="s">
        <v>59</v>
      </c>
      <c r="D77" t="s">
        <v>138</v>
      </c>
      <c r="E77" t="s">
        <v>115</v>
      </c>
      <c r="F77">
        <v>2000</v>
      </c>
      <c r="G77" t="s">
        <v>16</v>
      </c>
      <c r="H77">
        <v>15</v>
      </c>
      <c r="L77"/>
      <c r="M77"/>
      <c r="AJ77">
        <f t="shared" si="2"/>
        <v>15</v>
      </c>
      <c r="AK77">
        <v>1</v>
      </c>
      <c r="AL77" s="23">
        <v>1.19</v>
      </c>
    </row>
    <row r="78" spans="1:46">
      <c r="A78" s="15">
        <v>36787</v>
      </c>
      <c r="B78" t="s">
        <v>58</v>
      </c>
      <c r="D78" t="s">
        <v>138</v>
      </c>
      <c r="E78" t="s">
        <v>115</v>
      </c>
      <c r="F78">
        <v>2000</v>
      </c>
      <c r="G78" t="s">
        <v>16</v>
      </c>
      <c r="H78">
        <v>264</v>
      </c>
      <c r="L78"/>
      <c r="M78"/>
      <c r="AJ78">
        <f t="shared" si="2"/>
        <v>264</v>
      </c>
      <c r="AK78">
        <v>1</v>
      </c>
      <c r="AL78" s="23">
        <v>4.45</v>
      </c>
    </row>
    <row r="79" spans="1:46">
      <c r="A79" s="15">
        <v>36787</v>
      </c>
      <c r="B79" t="s">
        <v>60</v>
      </c>
      <c r="D79" t="s">
        <v>55</v>
      </c>
      <c r="E79" t="s">
        <v>131</v>
      </c>
      <c r="F79">
        <v>2000</v>
      </c>
      <c r="G79" t="s">
        <v>16</v>
      </c>
      <c r="H79">
        <v>22</v>
      </c>
      <c r="L79"/>
      <c r="M79"/>
      <c r="Y79">
        <v>2</v>
      </c>
      <c r="AJ79">
        <f t="shared" si="2"/>
        <v>24</v>
      </c>
      <c r="AK79">
        <v>2</v>
      </c>
      <c r="AL79" s="23">
        <v>1.2</v>
      </c>
    </row>
    <row r="80" spans="1:46">
      <c r="A80" s="15">
        <v>36787</v>
      </c>
      <c r="B80" t="s">
        <v>61</v>
      </c>
      <c r="D80" t="s">
        <v>55</v>
      </c>
      <c r="E80" t="s">
        <v>131</v>
      </c>
      <c r="F80">
        <v>2000</v>
      </c>
      <c r="G80" t="s">
        <v>16</v>
      </c>
      <c r="H80">
        <v>3</v>
      </c>
      <c r="L80"/>
      <c r="M80"/>
      <c r="Y80">
        <v>1</v>
      </c>
      <c r="AJ80">
        <f t="shared" si="2"/>
        <v>4</v>
      </c>
      <c r="AK80">
        <v>2</v>
      </c>
      <c r="AL80" s="23">
        <v>1.67</v>
      </c>
    </row>
    <row r="81" spans="1:38">
      <c r="A81" s="15">
        <v>36787</v>
      </c>
      <c r="B81" t="s">
        <v>63</v>
      </c>
      <c r="D81" t="s">
        <v>55</v>
      </c>
      <c r="E81" t="s">
        <v>131</v>
      </c>
      <c r="F81">
        <v>2000</v>
      </c>
      <c r="G81" t="s">
        <v>16</v>
      </c>
      <c r="L81"/>
      <c r="M81"/>
      <c r="AJ81">
        <f t="shared" si="2"/>
        <v>0</v>
      </c>
      <c r="AK81">
        <v>0</v>
      </c>
    </row>
    <row r="82" spans="1:38">
      <c r="A82" s="15">
        <v>36787</v>
      </c>
      <c r="B82" t="s">
        <v>62</v>
      </c>
      <c r="D82" t="s">
        <v>56</v>
      </c>
      <c r="E82" t="s">
        <v>130</v>
      </c>
      <c r="F82">
        <v>2000</v>
      </c>
      <c r="G82" t="s">
        <v>16</v>
      </c>
      <c r="H82">
        <v>1</v>
      </c>
      <c r="L82"/>
      <c r="M82"/>
      <c r="AJ82">
        <f t="shared" si="2"/>
        <v>1</v>
      </c>
      <c r="AK82">
        <v>1</v>
      </c>
      <c r="AL82" s="23">
        <v>2.5</v>
      </c>
    </row>
    <row r="83" spans="1:38">
      <c r="A83" s="15">
        <v>36788</v>
      </c>
      <c r="B83" t="s">
        <v>59</v>
      </c>
      <c r="D83" t="s">
        <v>138</v>
      </c>
      <c r="E83" t="s">
        <v>115</v>
      </c>
      <c r="F83">
        <v>2000</v>
      </c>
      <c r="G83" t="s">
        <v>16</v>
      </c>
      <c r="H83">
        <v>91</v>
      </c>
      <c r="L83"/>
      <c r="M83"/>
      <c r="Y83">
        <v>2</v>
      </c>
      <c r="AJ83">
        <f t="shared" si="2"/>
        <v>93</v>
      </c>
      <c r="AK83">
        <v>2</v>
      </c>
      <c r="AL83" s="23">
        <v>1.1000000000000001</v>
      </c>
    </row>
    <row r="84" spans="1:38">
      <c r="A84" s="15">
        <v>36788</v>
      </c>
      <c r="B84" t="s">
        <v>58</v>
      </c>
      <c r="D84" t="s">
        <v>138</v>
      </c>
      <c r="E84" t="s">
        <v>115</v>
      </c>
      <c r="F84">
        <v>2000</v>
      </c>
      <c r="G84" t="s">
        <v>16</v>
      </c>
      <c r="H84">
        <v>358</v>
      </c>
      <c r="L84"/>
      <c r="M84"/>
      <c r="Y84">
        <v>2</v>
      </c>
      <c r="AJ84">
        <f t="shared" si="2"/>
        <v>360</v>
      </c>
      <c r="AK84">
        <v>2</v>
      </c>
      <c r="AL84" s="23">
        <v>2.65</v>
      </c>
    </row>
    <row r="85" spans="1:38">
      <c r="A85" s="15">
        <v>36788</v>
      </c>
      <c r="B85" t="s">
        <v>60</v>
      </c>
      <c r="D85" t="s">
        <v>55</v>
      </c>
      <c r="E85" t="s">
        <v>131</v>
      </c>
      <c r="F85">
        <v>2000</v>
      </c>
      <c r="G85" t="s">
        <v>16</v>
      </c>
      <c r="H85">
        <v>98</v>
      </c>
      <c r="L85"/>
      <c r="M85"/>
      <c r="Y85">
        <v>8</v>
      </c>
      <c r="AJ85">
        <f t="shared" si="2"/>
        <v>106</v>
      </c>
      <c r="AK85">
        <v>2</v>
      </c>
      <c r="AL85" s="23">
        <v>2.6</v>
      </c>
    </row>
    <row r="86" spans="1:38">
      <c r="A86" s="15">
        <v>36788</v>
      </c>
      <c r="B86" t="s">
        <v>61</v>
      </c>
      <c r="D86" t="s">
        <v>55</v>
      </c>
      <c r="E86" t="s">
        <v>131</v>
      </c>
      <c r="F86">
        <v>2000</v>
      </c>
      <c r="G86" t="s">
        <v>16</v>
      </c>
      <c r="H86">
        <v>77</v>
      </c>
      <c r="L86"/>
      <c r="M86"/>
      <c r="Y86">
        <v>11</v>
      </c>
      <c r="AJ86">
        <f t="shared" si="2"/>
        <v>88</v>
      </c>
      <c r="AK86">
        <v>2</v>
      </c>
      <c r="AL86" s="23">
        <v>1.97</v>
      </c>
    </row>
    <row r="87" spans="1:38">
      <c r="A87" s="15">
        <v>36788</v>
      </c>
      <c r="B87" t="s">
        <v>63</v>
      </c>
      <c r="D87" t="s">
        <v>55</v>
      </c>
      <c r="E87" t="s">
        <v>131</v>
      </c>
      <c r="F87">
        <v>2000</v>
      </c>
      <c r="G87" t="s">
        <v>16</v>
      </c>
      <c r="H87">
        <v>67</v>
      </c>
      <c r="L87"/>
      <c r="M87"/>
      <c r="Y87">
        <v>22</v>
      </c>
      <c r="AJ87">
        <f t="shared" si="2"/>
        <v>89</v>
      </c>
      <c r="AK87">
        <v>2</v>
      </c>
      <c r="AL87" s="23">
        <v>2.8</v>
      </c>
    </row>
    <row r="88" spans="1:38">
      <c r="A88" s="15">
        <v>36788</v>
      </c>
      <c r="B88" t="s">
        <v>62</v>
      </c>
      <c r="D88" t="s">
        <v>56</v>
      </c>
      <c r="E88" t="s">
        <v>130</v>
      </c>
      <c r="F88">
        <v>2000</v>
      </c>
      <c r="G88" t="s">
        <v>16</v>
      </c>
      <c r="H88">
        <v>2</v>
      </c>
      <c r="L88"/>
      <c r="M88"/>
      <c r="Y88">
        <v>1</v>
      </c>
      <c r="AJ88">
        <f t="shared" si="2"/>
        <v>3</v>
      </c>
      <c r="AK88">
        <v>2</v>
      </c>
      <c r="AL88" s="23">
        <v>2.5</v>
      </c>
    </row>
    <row r="89" spans="1:38">
      <c r="A89" s="15">
        <v>36790</v>
      </c>
      <c r="B89" t="s">
        <v>59</v>
      </c>
      <c r="D89" t="s">
        <v>138</v>
      </c>
      <c r="E89" t="s">
        <v>115</v>
      </c>
      <c r="F89">
        <v>2000</v>
      </c>
      <c r="G89" t="s">
        <v>16</v>
      </c>
      <c r="H89">
        <v>65</v>
      </c>
      <c r="L89"/>
      <c r="M89"/>
      <c r="AJ89">
        <f t="shared" si="2"/>
        <v>65</v>
      </c>
      <c r="AK89">
        <v>1</v>
      </c>
      <c r="AL89" s="23">
        <v>2.29</v>
      </c>
    </row>
    <row r="90" spans="1:38">
      <c r="A90" s="15">
        <v>36790</v>
      </c>
      <c r="B90" t="s">
        <v>58</v>
      </c>
      <c r="D90" t="s">
        <v>138</v>
      </c>
      <c r="E90" t="s">
        <v>115</v>
      </c>
      <c r="F90">
        <v>2000</v>
      </c>
      <c r="G90" t="s">
        <v>16</v>
      </c>
      <c r="H90">
        <v>244</v>
      </c>
      <c r="K90">
        <v>1</v>
      </c>
      <c r="L90"/>
      <c r="M90"/>
      <c r="AJ90">
        <f t="shared" si="2"/>
        <v>245</v>
      </c>
      <c r="AK90">
        <v>2</v>
      </c>
      <c r="AL90" s="23">
        <v>3.42</v>
      </c>
    </row>
    <row r="91" spans="1:38">
      <c r="A91" s="15">
        <v>36790</v>
      </c>
      <c r="B91" t="s">
        <v>60</v>
      </c>
      <c r="D91" t="s">
        <v>55</v>
      </c>
      <c r="E91" t="s">
        <v>131</v>
      </c>
      <c r="F91">
        <v>2000</v>
      </c>
      <c r="G91" t="s">
        <v>16</v>
      </c>
      <c r="L91"/>
      <c r="M91"/>
      <c r="Y91">
        <v>1</v>
      </c>
      <c r="AJ91">
        <f t="shared" si="2"/>
        <v>1</v>
      </c>
      <c r="AK91">
        <v>1</v>
      </c>
    </row>
    <row r="92" spans="1:38">
      <c r="A92" s="15">
        <v>36790</v>
      </c>
      <c r="B92" t="s">
        <v>61</v>
      </c>
      <c r="D92" t="s">
        <v>55</v>
      </c>
      <c r="E92" t="s">
        <v>131</v>
      </c>
      <c r="F92">
        <v>2000</v>
      </c>
      <c r="G92" t="s">
        <v>16</v>
      </c>
      <c r="H92">
        <v>7</v>
      </c>
      <c r="L92"/>
      <c r="M92"/>
      <c r="Y92">
        <v>6</v>
      </c>
      <c r="Z92">
        <v>2</v>
      </c>
      <c r="AJ92">
        <f t="shared" si="2"/>
        <v>15</v>
      </c>
      <c r="AK92">
        <v>3</v>
      </c>
      <c r="AL92" s="23">
        <v>1.7</v>
      </c>
    </row>
    <row r="93" spans="1:38">
      <c r="A93" s="15">
        <v>36790</v>
      </c>
      <c r="B93" t="s">
        <v>63</v>
      </c>
      <c r="D93" t="s">
        <v>55</v>
      </c>
      <c r="E93" t="s">
        <v>131</v>
      </c>
      <c r="F93">
        <v>2000</v>
      </c>
      <c r="G93" t="s">
        <v>16</v>
      </c>
      <c r="H93">
        <v>125</v>
      </c>
      <c r="L93"/>
      <c r="M93"/>
      <c r="AJ93">
        <f t="shared" si="2"/>
        <v>125</v>
      </c>
      <c r="AK93">
        <v>1</v>
      </c>
      <c r="AL93" s="23">
        <v>2</v>
      </c>
    </row>
    <row r="94" spans="1:38">
      <c r="A94" s="15">
        <v>36790</v>
      </c>
      <c r="B94" t="s">
        <v>62</v>
      </c>
      <c r="D94" t="s">
        <v>56</v>
      </c>
      <c r="E94" t="s">
        <v>130</v>
      </c>
      <c r="F94">
        <v>2000</v>
      </c>
      <c r="G94" t="s">
        <v>16</v>
      </c>
      <c r="H94">
        <v>2</v>
      </c>
      <c r="L94"/>
      <c r="M94"/>
      <c r="AJ94">
        <f t="shared" si="2"/>
        <v>2</v>
      </c>
      <c r="AK94">
        <v>1</v>
      </c>
      <c r="AL94" s="23">
        <v>3.5</v>
      </c>
    </row>
    <row r="95" spans="1:38">
      <c r="A95" s="15">
        <v>36798</v>
      </c>
      <c r="B95" t="s">
        <v>60</v>
      </c>
      <c r="D95" t="s">
        <v>55</v>
      </c>
      <c r="E95" t="s">
        <v>131</v>
      </c>
      <c r="F95">
        <v>2000</v>
      </c>
      <c r="G95" t="s">
        <v>16</v>
      </c>
      <c r="H95">
        <v>4</v>
      </c>
      <c r="L95"/>
      <c r="M95"/>
      <c r="Y95">
        <v>1</v>
      </c>
      <c r="AJ95">
        <f t="shared" si="2"/>
        <v>5</v>
      </c>
      <c r="AK95">
        <v>2</v>
      </c>
      <c r="AL95" s="23">
        <v>1.5</v>
      </c>
    </row>
    <row r="96" spans="1:38">
      <c r="A96" s="15">
        <v>36798</v>
      </c>
      <c r="B96" t="s">
        <v>61</v>
      </c>
      <c r="D96" t="s">
        <v>55</v>
      </c>
      <c r="E96" t="s">
        <v>131</v>
      </c>
      <c r="F96">
        <v>2000</v>
      </c>
      <c r="G96" t="s">
        <v>16</v>
      </c>
      <c r="H96">
        <v>2</v>
      </c>
      <c r="L96"/>
      <c r="M96"/>
      <c r="AJ96">
        <f t="shared" si="2"/>
        <v>2</v>
      </c>
      <c r="AK96">
        <v>1</v>
      </c>
      <c r="AL96" s="23">
        <v>2</v>
      </c>
    </row>
    <row r="97" spans="1:41">
      <c r="A97" s="15">
        <v>36798</v>
      </c>
      <c r="B97" t="s">
        <v>63</v>
      </c>
      <c r="D97" t="s">
        <v>55</v>
      </c>
      <c r="E97" t="s">
        <v>131</v>
      </c>
      <c r="F97">
        <v>2000</v>
      </c>
      <c r="G97" t="s">
        <v>16</v>
      </c>
      <c r="L97"/>
      <c r="M97"/>
      <c r="AJ97">
        <f t="shared" si="2"/>
        <v>0</v>
      </c>
      <c r="AK97">
        <v>0</v>
      </c>
    </row>
    <row r="98" spans="1:41">
      <c r="A98" s="15">
        <v>36798</v>
      </c>
      <c r="B98" t="s">
        <v>62</v>
      </c>
      <c r="D98" t="s">
        <v>56</v>
      </c>
      <c r="E98" t="s">
        <v>130</v>
      </c>
      <c r="F98">
        <v>2000</v>
      </c>
      <c r="G98" t="s">
        <v>16</v>
      </c>
      <c r="H98">
        <v>15</v>
      </c>
      <c r="L98"/>
      <c r="M98"/>
      <c r="Y98">
        <v>3</v>
      </c>
      <c r="AJ98">
        <f t="shared" si="2"/>
        <v>18</v>
      </c>
      <c r="AK98">
        <v>2</v>
      </c>
      <c r="AL98" s="23">
        <v>2.66</v>
      </c>
    </row>
    <row r="99" spans="1:41">
      <c r="A99" s="15">
        <v>36798</v>
      </c>
      <c r="B99" t="s">
        <v>59</v>
      </c>
      <c r="D99" t="s">
        <v>138</v>
      </c>
      <c r="E99" t="s">
        <v>115</v>
      </c>
      <c r="F99">
        <v>2000</v>
      </c>
      <c r="G99" t="s">
        <v>16</v>
      </c>
      <c r="H99">
        <v>293</v>
      </c>
      <c r="L99"/>
      <c r="M99"/>
      <c r="AJ99">
        <f t="shared" si="2"/>
        <v>293</v>
      </c>
      <c r="AK99">
        <v>1</v>
      </c>
      <c r="AL99" s="23">
        <v>2.86</v>
      </c>
    </row>
    <row r="100" spans="1:41">
      <c r="A100" s="15">
        <v>36798</v>
      </c>
      <c r="B100" t="s">
        <v>58</v>
      </c>
      <c r="D100" t="s">
        <v>138</v>
      </c>
      <c r="E100" t="s">
        <v>115</v>
      </c>
      <c r="F100">
        <v>2000</v>
      </c>
      <c r="G100" t="s">
        <v>16</v>
      </c>
      <c r="H100">
        <v>326</v>
      </c>
      <c r="L100"/>
      <c r="M100"/>
      <c r="Y100">
        <v>1</v>
      </c>
      <c r="AJ100">
        <f t="shared" si="2"/>
        <v>327</v>
      </c>
      <c r="AK100">
        <v>2</v>
      </c>
      <c r="AL100" s="23">
        <v>2.98</v>
      </c>
    </row>
    <row r="101" spans="1:41">
      <c r="A101" s="15">
        <v>36983</v>
      </c>
      <c r="B101" t="s">
        <v>63</v>
      </c>
      <c r="D101" t="s">
        <v>55</v>
      </c>
      <c r="E101" t="s">
        <v>131</v>
      </c>
      <c r="F101">
        <v>2001</v>
      </c>
      <c r="G101" t="s">
        <v>15</v>
      </c>
      <c r="L101"/>
      <c r="M101"/>
      <c r="AJ101">
        <f t="shared" si="2"/>
        <v>0</v>
      </c>
      <c r="AK101">
        <v>0</v>
      </c>
    </row>
    <row r="102" spans="1:41">
      <c r="A102" s="15">
        <v>36983</v>
      </c>
      <c r="B102" t="s">
        <v>62</v>
      </c>
      <c r="D102" t="s">
        <v>56</v>
      </c>
      <c r="E102" t="s">
        <v>130</v>
      </c>
      <c r="F102">
        <v>2001</v>
      </c>
      <c r="G102" t="s">
        <v>15</v>
      </c>
      <c r="K102">
        <v>1</v>
      </c>
      <c r="L102"/>
      <c r="M102"/>
      <c r="AJ102">
        <f t="shared" si="2"/>
        <v>1</v>
      </c>
      <c r="AK102">
        <v>1</v>
      </c>
    </row>
    <row r="103" spans="1:41">
      <c r="A103" s="15">
        <v>36983</v>
      </c>
      <c r="B103" t="s">
        <v>59</v>
      </c>
      <c r="D103" t="s">
        <v>138</v>
      </c>
      <c r="E103" t="s">
        <v>115</v>
      </c>
      <c r="F103">
        <v>2001</v>
      </c>
      <c r="G103" t="s">
        <v>15</v>
      </c>
      <c r="J103">
        <v>2</v>
      </c>
      <c r="K103">
        <v>3</v>
      </c>
      <c r="L103"/>
      <c r="M103"/>
      <c r="AJ103">
        <f t="shared" si="2"/>
        <v>5</v>
      </c>
      <c r="AK103">
        <v>2</v>
      </c>
    </row>
    <row r="104" spans="1:41">
      <c r="A104" s="15">
        <v>36983</v>
      </c>
      <c r="B104" t="s">
        <v>58</v>
      </c>
      <c r="D104" t="s">
        <v>138</v>
      </c>
      <c r="E104" t="s">
        <v>115</v>
      </c>
      <c r="F104">
        <v>2001</v>
      </c>
      <c r="G104" t="s">
        <v>15</v>
      </c>
      <c r="H104">
        <v>45</v>
      </c>
      <c r="J104">
        <v>6</v>
      </c>
      <c r="L104"/>
      <c r="M104"/>
      <c r="AJ104">
        <f t="shared" ref="AJ104:AJ109" si="3">SUM(H104:AI104)</f>
        <v>51</v>
      </c>
      <c r="AK104">
        <v>2</v>
      </c>
      <c r="AL104" s="23">
        <f>85/45</f>
        <v>1.8888888888888888</v>
      </c>
      <c r="AO104" t="s">
        <v>66</v>
      </c>
    </row>
    <row r="105" spans="1:41">
      <c r="A105" s="15">
        <v>37053</v>
      </c>
      <c r="B105" t="s">
        <v>60</v>
      </c>
      <c r="D105" t="s">
        <v>55</v>
      </c>
      <c r="E105" t="s">
        <v>131</v>
      </c>
      <c r="F105">
        <v>2001</v>
      </c>
      <c r="G105" t="s">
        <v>15</v>
      </c>
      <c r="H105">
        <v>182</v>
      </c>
      <c r="L105"/>
      <c r="M105"/>
      <c r="AJ105">
        <f t="shared" si="3"/>
        <v>182</v>
      </c>
      <c r="AK105">
        <v>1</v>
      </c>
      <c r="AL105" s="23">
        <f>650/182</f>
        <v>3.5714285714285716</v>
      </c>
      <c r="AO105" t="s">
        <v>67</v>
      </c>
    </row>
    <row r="106" spans="1:41">
      <c r="A106" s="15">
        <v>37053</v>
      </c>
      <c r="B106" t="s">
        <v>61</v>
      </c>
      <c r="D106" t="s">
        <v>55</v>
      </c>
      <c r="E106" t="s">
        <v>131</v>
      </c>
      <c r="F106">
        <v>2001</v>
      </c>
      <c r="G106" t="s">
        <v>15</v>
      </c>
      <c r="H106">
        <v>95</v>
      </c>
      <c r="L106"/>
      <c r="M106"/>
      <c r="Y106">
        <v>1</v>
      </c>
      <c r="AC106">
        <v>1</v>
      </c>
      <c r="AD106">
        <v>1</v>
      </c>
      <c r="AJ106">
        <f t="shared" si="3"/>
        <v>98</v>
      </c>
      <c r="AK106">
        <v>4</v>
      </c>
      <c r="AL106" s="23">
        <f>325/95</f>
        <v>3.4210526315789473</v>
      </c>
      <c r="AN106">
        <v>2</v>
      </c>
    </row>
    <row r="107" spans="1:41">
      <c r="A107" s="15">
        <v>37053</v>
      </c>
      <c r="B107" t="s">
        <v>63</v>
      </c>
      <c r="D107" t="s">
        <v>55</v>
      </c>
      <c r="E107" t="s">
        <v>131</v>
      </c>
      <c r="F107">
        <v>2001</v>
      </c>
      <c r="G107" t="s">
        <v>15</v>
      </c>
      <c r="L107"/>
      <c r="M107"/>
      <c r="AJ107">
        <f t="shared" si="3"/>
        <v>0</v>
      </c>
      <c r="AK107">
        <v>0</v>
      </c>
    </row>
    <row r="108" spans="1:41">
      <c r="A108" s="15">
        <v>37053</v>
      </c>
      <c r="B108" t="s">
        <v>62</v>
      </c>
      <c r="D108" t="s">
        <v>56</v>
      </c>
      <c r="E108" t="s">
        <v>130</v>
      </c>
      <c r="F108">
        <v>2001</v>
      </c>
      <c r="G108" t="s">
        <v>15</v>
      </c>
      <c r="L108"/>
      <c r="M108"/>
      <c r="AJ108">
        <f t="shared" si="3"/>
        <v>0</v>
      </c>
      <c r="AK108">
        <v>0</v>
      </c>
    </row>
    <row r="109" spans="1:41">
      <c r="A109" s="15">
        <v>37053</v>
      </c>
      <c r="B109" t="s">
        <v>59</v>
      </c>
      <c r="D109" t="s">
        <v>138</v>
      </c>
      <c r="E109" t="s">
        <v>115</v>
      </c>
      <c r="F109">
        <v>2001</v>
      </c>
      <c r="G109" t="s">
        <v>15</v>
      </c>
      <c r="H109">
        <v>82</v>
      </c>
      <c r="L109"/>
      <c r="M109"/>
      <c r="AJ109">
        <f t="shared" si="3"/>
        <v>82</v>
      </c>
      <c r="AK109">
        <v>1</v>
      </c>
      <c r="AL109" s="23">
        <f>160/82</f>
        <v>1.9512195121951219</v>
      </c>
    </row>
    <row r="110" spans="1:41">
      <c r="A110" s="15">
        <v>37053</v>
      </c>
      <c r="B110" t="s">
        <v>58</v>
      </c>
      <c r="D110" t="s">
        <v>138</v>
      </c>
      <c r="E110" t="s">
        <v>115</v>
      </c>
      <c r="F110">
        <v>2001</v>
      </c>
      <c r="G110" t="s">
        <v>15</v>
      </c>
      <c r="H110" t="s">
        <v>90</v>
      </c>
      <c r="L110"/>
      <c r="M110"/>
      <c r="AJ110">
        <v>100</v>
      </c>
      <c r="AK110">
        <v>1</v>
      </c>
    </row>
    <row r="111" spans="1:41">
      <c r="A111" s="15">
        <v>37054</v>
      </c>
      <c r="B111" t="s">
        <v>60</v>
      </c>
      <c r="D111" t="s">
        <v>55</v>
      </c>
      <c r="E111" t="s">
        <v>131</v>
      </c>
      <c r="F111">
        <v>2001</v>
      </c>
      <c r="G111" t="s">
        <v>15</v>
      </c>
      <c r="H111">
        <v>84</v>
      </c>
      <c r="L111"/>
      <c r="M111"/>
      <c r="AJ111">
        <f t="shared" ref="AJ111:AJ142" si="4">SUM(H111:AI111)</f>
        <v>84</v>
      </c>
      <c r="AK111">
        <v>1</v>
      </c>
      <c r="AL111" s="23">
        <f>300/84</f>
        <v>3.5714285714285716</v>
      </c>
    </row>
    <row r="112" spans="1:41">
      <c r="A112" s="15">
        <v>37054</v>
      </c>
      <c r="B112" t="s">
        <v>61</v>
      </c>
      <c r="D112" t="s">
        <v>55</v>
      </c>
      <c r="E112" t="s">
        <v>131</v>
      </c>
      <c r="F112">
        <v>2001</v>
      </c>
      <c r="G112" t="s">
        <v>15</v>
      </c>
      <c r="H112">
        <v>47</v>
      </c>
      <c r="L112"/>
      <c r="M112"/>
      <c r="AE112">
        <v>1</v>
      </c>
      <c r="AJ112">
        <f t="shared" si="4"/>
        <v>48</v>
      </c>
      <c r="AK112">
        <v>2</v>
      </c>
      <c r="AL112" s="23">
        <f>190/47</f>
        <v>4.042553191489362</v>
      </c>
    </row>
    <row r="113" spans="1:41">
      <c r="A113" s="15">
        <v>37054</v>
      </c>
      <c r="B113" t="s">
        <v>63</v>
      </c>
      <c r="D113" t="s">
        <v>55</v>
      </c>
      <c r="E113" t="s">
        <v>131</v>
      </c>
      <c r="F113">
        <v>2001</v>
      </c>
      <c r="G113" t="s">
        <v>15</v>
      </c>
      <c r="L113"/>
      <c r="M113"/>
      <c r="AJ113">
        <f t="shared" si="4"/>
        <v>0</v>
      </c>
      <c r="AK113">
        <v>0</v>
      </c>
    </row>
    <row r="114" spans="1:41">
      <c r="A114" s="15">
        <v>37054</v>
      </c>
      <c r="B114" t="s">
        <v>62</v>
      </c>
      <c r="D114" t="s">
        <v>56</v>
      </c>
      <c r="E114" t="s">
        <v>130</v>
      </c>
      <c r="F114">
        <v>2001</v>
      </c>
      <c r="G114" t="s">
        <v>15</v>
      </c>
      <c r="L114"/>
      <c r="M114"/>
      <c r="AJ114">
        <f t="shared" si="4"/>
        <v>0</v>
      </c>
      <c r="AK114">
        <v>0</v>
      </c>
    </row>
    <row r="115" spans="1:41">
      <c r="A115" s="15">
        <v>37054</v>
      </c>
      <c r="B115" t="s">
        <v>59</v>
      </c>
      <c r="D115" t="s">
        <v>138</v>
      </c>
      <c r="E115" t="s">
        <v>115</v>
      </c>
      <c r="F115">
        <v>2001</v>
      </c>
      <c r="G115" t="s">
        <v>15</v>
      </c>
      <c r="H115">
        <v>137</v>
      </c>
      <c r="L115"/>
      <c r="M115"/>
      <c r="AJ115">
        <f t="shared" si="4"/>
        <v>137</v>
      </c>
      <c r="AK115">
        <v>1</v>
      </c>
      <c r="AL115" s="23">
        <f>268/137</f>
        <v>1.9562043795620438</v>
      </c>
    </row>
    <row r="116" spans="1:41">
      <c r="A116" s="15">
        <v>37054</v>
      </c>
      <c r="B116" t="s">
        <v>59</v>
      </c>
      <c r="D116" t="s">
        <v>138</v>
      </c>
      <c r="E116" t="s">
        <v>115</v>
      </c>
      <c r="F116">
        <v>2001</v>
      </c>
      <c r="G116" t="s">
        <v>15</v>
      </c>
      <c r="H116">
        <v>36</v>
      </c>
      <c r="J116">
        <v>1</v>
      </c>
      <c r="L116"/>
      <c r="M116"/>
      <c r="AJ116">
        <f t="shared" si="4"/>
        <v>37</v>
      </c>
      <c r="AK116">
        <v>2</v>
      </c>
      <c r="AL116" s="23">
        <f>85/36</f>
        <v>2.3611111111111112</v>
      </c>
    </row>
    <row r="117" spans="1:41">
      <c r="A117" s="15">
        <v>37055</v>
      </c>
      <c r="B117" t="s">
        <v>60</v>
      </c>
      <c r="D117" t="s">
        <v>55</v>
      </c>
      <c r="E117" t="s">
        <v>131</v>
      </c>
      <c r="F117">
        <v>2001</v>
      </c>
      <c r="G117" t="s">
        <v>15</v>
      </c>
      <c r="H117">
        <v>179</v>
      </c>
      <c r="L117"/>
      <c r="M117"/>
      <c r="AJ117">
        <f t="shared" si="4"/>
        <v>179</v>
      </c>
      <c r="AK117">
        <v>1</v>
      </c>
      <c r="AL117" s="23">
        <f>650/179</f>
        <v>3.6312849162011172</v>
      </c>
    </row>
    <row r="118" spans="1:41">
      <c r="A118" s="15">
        <v>37055</v>
      </c>
      <c r="B118" t="s">
        <v>61</v>
      </c>
      <c r="D118" t="s">
        <v>55</v>
      </c>
      <c r="E118" t="s">
        <v>131</v>
      </c>
      <c r="F118">
        <v>2001</v>
      </c>
      <c r="G118" t="s">
        <v>15</v>
      </c>
      <c r="H118">
        <v>82</v>
      </c>
      <c r="L118"/>
      <c r="M118"/>
      <c r="AJ118">
        <f t="shared" si="4"/>
        <v>82</v>
      </c>
      <c r="AK118">
        <v>1</v>
      </c>
      <c r="AL118" s="23">
        <f>315/82</f>
        <v>3.8414634146341462</v>
      </c>
    </row>
    <row r="119" spans="1:41">
      <c r="A119" s="15">
        <v>37055</v>
      </c>
      <c r="B119" t="s">
        <v>63</v>
      </c>
      <c r="D119" t="s">
        <v>55</v>
      </c>
      <c r="E119" t="s">
        <v>131</v>
      </c>
      <c r="F119">
        <v>2001</v>
      </c>
      <c r="G119" t="s">
        <v>15</v>
      </c>
      <c r="H119">
        <v>1</v>
      </c>
      <c r="L119"/>
      <c r="M119"/>
      <c r="AJ119">
        <f t="shared" si="4"/>
        <v>1</v>
      </c>
      <c r="AK119">
        <v>1</v>
      </c>
      <c r="AL119" s="23">
        <v>3</v>
      </c>
    </row>
    <row r="120" spans="1:41">
      <c r="A120" s="15">
        <v>37055</v>
      </c>
      <c r="B120" t="s">
        <v>62</v>
      </c>
      <c r="D120" t="s">
        <v>56</v>
      </c>
      <c r="E120" t="s">
        <v>130</v>
      </c>
      <c r="F120">
        <v>2001</v>
      </c>
      <c r="G120" t="s">
        <v>15</v>
      </c>
      <c r="L120"/>
      <c r="M120"/>
      <c r="AJ120">
        <f t="shared" si="4"/>
        <v>0</v>
      </c>
    </row>
    <row r="121" spans="1:41">
      <c r="A121" s="15">
        <v>37055</v>
      </c>
      <c r="B121" t="s">
        <v>59</v>
      </c>
      <c r="D121" t="s">
        <v>138</v>
      </c>
      <c r="E121" t="s">
        <v>115</v>
      </c>
      <c r="F121">
        <v>2001</v>
      </c>
      <c r="G121" t="s">
        <v>15</v>
      </c>
      <c r="H121">
        <v>92</v>
      </c>
      <c r="L121"/>
      <c r="M121"/>
      <c r="AJ121">
        <f t="shared" si="4"/>
        <v>92</v>
      </c>
      <c r="AK121">
        <v>1</v>
      </c>
      <c r="AL121" s="23">
        <f>160/92</f>
        <v>1.7391304347826086</v>
      </c>
      <c r="AO121" t="s">
        <v>65</v>
      </c>
    </row>
    <row r="122" spans="1:41">
      <c r="A122" s="15">
        <v>37055</v>
      </c>
      <c r="B122" t="s">
        <v>59</v>
      </c>
      <c r="D122" t="s">
        <v>138</v>
      </c>
      <c r="E122" t="s">
        <v>115</v>
      </c>
      <c r="F122">
        <v>2001</v>
      </c>
      <c r="G122" t="s">
        <v>15</v>
      </c>
      <c r="H122">
        <v>3</v>
      </c>
      <c r="L122"/>
      <c r="M122"/>
      <c r="AJ122">
        <f t="shared" si="4"/>
        <v>3</v>
      </c>
      <c r="AK122">
        <v>1</v>
      </c>
      <c r="AL122" s="23">
        <f>8.3/3</f>
        <v>2.7666666666666671</v>
      </c>
    </row>
    <row r="123" spans="1:41">
      <c r="A123" s="15">
        <v>37056</v>
      </c>
      <c r="B123" t="s">
        <v>60</v>
      </c>
      <c r="D123" t="s">
        <v>55</v>
      </c>
      <c r="E123" t="s">
        <v>131</v>
      </c>
      <c r="F123">
        <v>2001</v>
      </c>
      <c r="G123" t="s">
        <v>15</v>
      </c>
      <c r="H123">
        <v>123</v>
      </c>
      <c r="L123"/>
      <c r="M123"/>
      <c r="AD123">
        <v>4</v>
      </c>
      <c r="AJ123">
        <f t="shared" si="4"/>
        <v>127</v>
      </c>
      <c r="AK123">
        <v>2</v>
      </c>
      <c r="AL123" s="23">
        <f>725/123</f>
        <v>5.8943089430894311</v>
      </c>
    </row>
    <row r="124" spans="1:41">
      <c r="A124" s="15">
        <v>37056</v>
      </c>
      <c r="B124" t="s">
        <v>61</v>
      </c>
      <c r="D124" t="s">
        <v>55</v>
      </c>
      <c r="E124" t="s">
        <v>131</v>
      </c>
      <c r="F124">
        <v>2001</v>
      </c>
      <c r="G124" t="s">
        <v>15</v>
      </c>
      <c r="H124">
        <v>59</v>
      </c>
      <c r="L124"/>
      <c r="M124"/>
      <c r="AD124">
        <v>1</v>
      </c>
      <c r="AJ124">
        <f t="shared" si="4"/>
        <v>60</v>
      </c>
      <c r="AK124">
        <v>2</v>
      </c>
      <c r="AL124" s="23">
        <f>185/59</f>
        <v>3.1355932203389831</v>
      </c>
    </row>
    <row r="125" spans="1:41">
      <c r="A125" s="15">
        <v>37056</v>
      </c>
      <c r="B125" t="s">
        <v>63</v>
      </c>
      <c r="D125" t="s">
        <v>55</v>
      </c>
      <c r="E125" t="s">
        <v>131</v>
      </c>
      <c r="F125">
        <v>2001</v>
      </c>
      <c r="G125" t="s">
        <v>15</v>
      </c>
      <c r="H125">
        <v>1</v>
      </c>
      <c r="L125"/>
      <c r="M125"/>
      <c r="AD125">
        <v>3</v>
      </c>
      <c r="AJ125">
        <f t="shared" si="4"/>
        <v>4</v>
      </c>
      <c r="AK125">
        <v>2</v>
      </c>
      <c r="AL125" s="23">
        <v>3</v>
      </c>
    </row>
    <row r="126" spans="1:41">
      <c r="A126" s="15">
        <v>37056</v>
      </c>
      <c r="B126" t="s">
        <v>62</v>
      </c>
      <c r="D126" t="s">
        <v>56</v>
      </c>
      <c r="E126" t="s">
        <v>130</v>
      </c>
      <c r="F126">
        <v>2001</v>
      </c>
      <c r="G126" t="s">
        <v>15</v>
      </c>
      <c r="L126"/>
      <c r="M126"/>
      <c r="AJ126">
        <f t="shared" si="4"/>
        <v>0</v>
      </c>
      <c r="AK126">
        <v>0</v>
      </c>
    </row>
    <row r="127" spans="1:41">
      <c r="A127" s="15">
        <v>37056</v>
      </c>
      <c r="B127" t="s">
        <v>59</v>
      </c>
      <c r="D127" t="s">
        <v>138</v>
      </c>
      <c r="E127" t="s">
        <v>115</v>
      </c>
      <c r="F127">
        <v>2001</v>
      </c>
      <c r="G127" t="s">
        <v>15</v>
      </c>
      <c r="H127">
        <v>32</v>
      </c>
      <c r="L127"/>
      <c r="M127"/>
      <c r="AD127">
        <v>2</v>
      </c>
      <c r="AJ127">
        <f t="shared" si="4"/>
        <v>34</v>
      </c>
      <c r="AK127">
        <v>2</v>
      </c>
      <c r="AL127" s="23">
        <f>87/32</f>
        <v>2.71875</v>
      </c>
    </row>
    <row r="128" spans="1:41">
      <c r="A128" s="15">
        <v>37056</v>
      </c>
      <c r="B128" t="s">
        <v>59</v>
      </c>
      <c r="D128" t="s">
        <v>138</v>
      </c>
      <c r="E128" t="s">
        <v>115</v>
      </c>
      <c r="F128">
        <v>2001</v>
      </c>
      <c r="G128" t="s">
        <v>15</v>
      </c>
      <c r="H128">
        <v>42</v>
      </c>
      <c r="L128"/>
      <c r="M128"/>
      <c r="AD128">
        <v>2</v>
      </c>
      <c r="AJ128">
        <f t="shared" si="4"/>
        <v>44</v>
      </c>
      <c r="AK128">
        <v>2</v>
      </c>
      <c r="AL128" s="23">
        <f>130/42</f>
        <v>3.0952380952380953</v>
      </c>
      <c r="AO128" t="s">
        <v>0</v>
      </c>
    </row>
    <row r="129" spans="1:40">
      <c r="A129" s="15">
        <v>37161</v>
      </c>
      <c r="B129" t="s">
        <v>62</v>
      </c>
      <c r="C129">
        <v>22.17</v>
      </c>
      <c r="D129" t="s">
        <v>56</v>
      </c>
      <c r="E129" t="s">
        <v>130</v>
      </c>
      <c r="F129">
        <v>2001</v>
      </c>
      <c r="G129" t="s">
        <v>16</v>
      </c>
      <c r="L129"/>
      <c r="M129"/>
      <c r="AJ129">
        <f t="shared" si="4"/>
        <v>0</v>
      </c>
      <c r="AK129">
        <v>0</v>
      </c>
    </row>
    <row r="130" spans="1:40">
      <c r="A130" s="15">
        <v>37161</v>
      </c>
      <c r="B130" t="s">
        <v>60</v>
      </c>
      <c r="C130">
        <v>22.17</v>
      </c>
      <c r="D130" t="s">
        <v>55</v>
      </c>
      <c r="E130" t="s">
        <v>131</v>
      </c>
      <c r="F130">
        <v>2001</v>
      </c>
      <c r="G130" t="s">
        <v>16</v>
      </c>
      <c r="H130">
        <v>225</v>
      </c>
      <c r="L130"/>
      <c r="M130"/>
      <c r="Y130">
        <v>6</v>
      </c>
      <c r="AJ130">
        <f t="shared" si="4"/>
        <v>231</v>
      </c>
      <c r="AK130">
        <v>2</v>
      </c>
      <c r="AL130" s="23">
        <f>(470/225)</f>
        <v>2.088888888888889</v>
      </c>
      <c r="AN130">
        <f>20/6</f>
        <v>3.3333333333333335</v>
      </c>
    </row>
    <row r="131" spans="1:40">
      <c r="A131" s="15">
        <v>37161</v>
      </c>
      <c r="B131" t="s">
        <v>58</v>
      </c>
      <c r="C131">
        <v>18.5</v>
      </c>
      <c r="D131" t="s">
        <v>138</v>
      </c>
      <c r="E131" t="s">
        <v>115</v>
      </c>
      <c r="F131">
        <v>2001</v>
      </c>
      <c r="G131" t="s">
        <v>16</v>
      </c>
      <c r="H131">
        <v>7</v>
      </c>
      <c r="L131"/>
      <c r="M131"/>
      <c r="Y131">
        <v>1</v>
      </c>
      <c r="AJ131">
        <f t="shared" si="4"/>
        <v>8</v>
      </c>
      <c r="AK131">
        <v>2</v>
      </c>
      <c r="AL131" s="23">
        <f>10/7</f>
        <v>1.4285714285714286</v>
      </c>
      <c r="AN131">
        <v>6</v>
      </c>
    </row>
    <row r="132" spans="1:40">
      <c r="A132" s="15">
        <v>37161</v>
      </c>
      <c r="B132" t="s">
        <v>59</v>
      </c>
      <c r="C132">
        <v>18.5</v>
      </c>
      <c r="D132" t="s">
        <v>138</v>
      </c>
      <c r="E132" t="s">
        <v>115</v>
      </c>
      <c r="F132">
        <v>2001</v>
      </c>
      <c r="G132" t="s">
        <v>16</v>
      </c>
      <c r="L132"/>
      <c r="M132"/>
      <c r="Y132">
        <v>2</v>
      </c>
      <c r="AJ132">
        <f t="shared" si="4"/>
        <v>2</v>
      </c>
      <c r="AK132">
        <v>1</v>
      </c>
      <c r="AN132">
        <f>7/5</f>
        <v>1.4</v>
      </c>
    </row>
    <row r="133" spans="1:40">
      <c r="A133" s="15">
        <v>37162</v>
      </c>
      <c r="B133" t="s">
        <v>1</v>
      </c>
      <c r="C133">
        <v>24</v>
      </c>
      <c r="D133" t="s">
        <v>55</v>
      </c>
      <c r="E133" t="s">
        <v>131</v>
      </c>
      <c r="F133">
        <v>2001</v>
      </c>
      <c r="G133" t="s">
        <v>16</v>
      </c>
      <c r="H133">
        <v>1</v>
      </c>
      <c r="L133"/>
      <c r="M133"/>
      <c r="Y133">
        <v>1</v>
      </c>
      <c r="AJ133">
        <f t="shared" si="4"/>
        <v>2</v>
      </c>
      <c r="AK133">
        <v>2</v>
      </c>
      <c r="AL133" s="23">
        <f>20/10</f>
        <v>2</v>
      </c>
      <c r="AN133">
        <v>2</v>
      </c>
    </row>
    <row r="134" spans="1:40">
      <c r="A134" s="15">
        <v>37162</v>
      </c>
      <c r="B134" t="s">
        <v>2</v>
      </c>
      <c r="C134">
        <v>4.12</v>
      </c>
      <c r="D134" t="s">
        <v>55</v>
      </c>
      <c r="E134" t="s">
        <v>131</v>
      </c>
      <c r="F134">
        <v>2001</v>
      </c>
      <c r="G134" t="s">
        <v>16</v>
      </c>
      <c r="H134">
        <v>9</v>
      </c>
      <c r="L134"/>
      <c r="M134"/>
      <c r="AJ134">
        <f t="shared" si="4"/>
        <v>9</v>
      </c>
      <c r="AK134">
        <v>1</v>
      </c>
      <c r="AL134" s="23">
        <f>10/9</f>
        <v>1.1111111111111112</v>
      </c>
    </row>
    <row r="135" spans="1:40">
      <c r="A135" s="15">
        <v>37162</v>
      </c>
      <c r="B135" t="s">
        <v>62</v>
      </c>
      <c r="C135">
        <v>24</v>
      </c>
      <c r="D135" t="s">
        <v>56</v>
      </c>
      <c r="E135" t="s">
        <v>130</v>
      </c>
      <c r="F135">
        <v>2001</v>
      </c>
      <c r="G135" t="s">
        <v>16</v>
      </c>
      <c r="L135"/>
      <c r="M135"/>
      <c r="AJ135">
        <f t="shared" si="4"/>
        <v>0</v>
      </c>
      <c r="AK135">
        <v>0</v>
      </c>
    </row>
    <row r="136" spans="1:40">
      <c r="A136" s="15">
        <v>37162</v>
      </c>
      <c r="B136" t="s">
        <v>58</v>
      </c>
      <c r="C136">
        <v>24.33</v>
      </c>
      <c r="D136" t="s">
        <v>138</v>
      </c>
      <c r="E136" t="s">
        <v>115</v>
      </c>
      <c r="F136">
        <v>2001</v>
      </c>
      <c r="G136" t="s">
        <v>16</v>
      </c>
      <c r="H136">
        <v>3</v>
      </c>
      <c r="L136"/>
      <c r="M136"/>
      <c r="AJ136">
        <f t="shared" si="4"/>
        <v>3</v>
      </c>
      <c r="AK136">
        <v>1</v>
      </c>
      <c r="AL136" s="23">
        <f>4/3</f>
        <v>1.3333333333333333</v>
      </c>
    </row>
    <row r="137" spans="1:40">
      <c r="A137" s="15">
        <v>37162</v>
      </c>
      <c r="B137" t="s">
        <v>59</v>
      </c>
      <c r="C137">
        <v>24.5</v>
      </c>
      <c r="D137" t="s">
        <v>138</v>
      </c>
      <c r="E137" t="s">
        <v>115</v>
      </c>
      <c r="F137">
        <v>2001</v>
      </c>
      <c r="G137" t="s">
        <v>16</v>
      </c>
      <c r="L137"/>
      <c r="M137"/>
      <c r="Y137">
        <v>2</v>
      </c>
      <c r="AJ137">
        <f t="shared" si="4"/>
        <v>2</v>
      </c>
      <c r="AK137">
        <v>1</v>
      </c>
      <c r="AN137">
        <f>7/2</f>
        <v>3.5</v>
      </c>
    </row>
    <row r="138" spans="1:40">
      <c r="A138" s="15">
        <v>37167</v>
      </c>
      <c r="B138" t="s">
        <v>60</v>
      </c>
      <c r="C138">
        <v>17.170000000000002</v>
      </c>
      <c r="D138" t="s">
        <v>55</v>
      </c>
      <c r="E138" t="s">
        <v>131</v>
      </c>
      <c r="F138">
        <v>2001</v>
      </c>
      <c r="G138" t="s">
        <v>16</v>
      </c>
      <c r="H138">
        <v>12</v>
      </c>
      <c r="L138"/>
      <c r="M138"/>
      <c r="Y138">
        <v>1</v>
      </c>
      <c r="AJ138">
        <f t="shared" si="4"/>
        <v>13</v>
      </c>
      <c r="AK138">
        <v>2</v>
      </c>
      <c r="AL138" s="23">
        <f>20/12</f>
        <v>1.6666666666666667</v>
      </c>
      <c r="AN138">
        <v>2.5</v>
      </c>
    </row>
    <row r="139" spans="1:40">
      <c r="A139" s="15">
        <v>37167</v>
      </c>
      <c r="B139" t="s">
        <v>61</v>
      </c>
      <c r="C139">
        <v>17.170000000000002</v>
      </c>
      <c r="D139" t="s">
        <v>55</v>
      </c>
      <c r="E139" t="s">
        <v>131</v>
      </c>
      <c r="F139">
        <v>2001</v>
      </c>
      <c r="G139" t="s">
        <v>16</v>
      </c>
      <c r="H139">
        <v>45</v>
      </c>
      <c r="L139"/>
      <c r="M139"/>
      <c r="Y139">
        <v>12</v>
      </c>
      <c r="AJ139">
        <f t="shared" si="4"/>
        <v>57</v>
      </c>
      <c r="AK139">
        <v>2</v>
      </c>
      <c r="AL139" s="23">
        <f>76/45</f>
        <v>1.6888888888888889</v>
      </c>
    </row>
    <row r="140" spans="1:40">
      <c r="A140" s="15">
        <v>37167</v>
      </c>
      <c r="B140" t="s">
        <v>63</v>
      </c>
      <c r="C140">
        <v>17.170000000000002</v>
      </c>
      <c r="D140" t="s">
        <v>55</v>
      </c>
      <c r="E140" t="s">
        <v>131</v>
      </c>
      <c r="F140">
        <v>2001</v>
      </c>
      <c r="G140" t="s">
        <v>16</v>
      </c>
      <c r="H140">
        <v>58</v>
      </c>
      <c r="L140"/>
      <c r="M140"/>
      <c r="T140">
        <v>1</v>
      </c>
      <c r="Y140">
        <v>2</v>
      </c>
      <c r="AF140">
        <v>1</v>
      </c>
      <c r="AJ140">
        <f t="shared" si="4"/>
        <v>62</v>
      </c>
      <c r="AK140">
        <v>4</v>
      </c>
      <c r="AL140" s="23">
        <f>65/58</f>
        <v>1.1206896551724137</v>
      </c>
    </row>
    <row r="141" spans="1:40">
      <c r="A141" s="15">
        <v>37167</v>
      </c>
      <c r="B141" t="s">
        <v>62</v>
      </c>
      <c r="C141">
        <v>17.170000000000002</v>
      </c>
      <c r="D141" t="s">
        <v>56</v>
      </c>
      <c r="E141" t="s">
        <v>130</v>
      </c>
      <c r="F141">
        <v>2001</v>
      </c>
      <c r="G141" t="s">
        <v>16</v>
      </c>
      <c r="H141">
        <v>2</v>
      </c>
      <c r="L141"/>
      <c r="M141"/>
      <c r="Y141">
        <v>4</v>
      </c>
      <c r="AJ141">
        <f t="shared" si="4"/>
        <v>6</v>
      </c>
      <c r="AK141">
        <v>2</v>
      </c>
      <c r="AL141" s="23">
        <v>1</v>
      </c>
      <c r="AN141">
        <v>3.5</v>
      </c>
    </row>
    <row r="142" spans="1:40">
      <c r="A142" s="15">
        <v>37167</v>
      </c>
      <c r="B142" t="s">
        <v>58</v>
      </c>
      <c r="C142">
        <v>17.5</v>
      </c>
      <c r="D142" t="s">
        <v>138</v>
      </c>
      <c r="E142" t="s">
        <v>115</v>
      </c>
      <c r="F142">
        <v>2001</v>
      </c>
      <c r="G142" t="s">
        <v>16</v>
      </c>
      <c r="H142">
        <v>617</v>
      </c>
      <c r="L142"/>
      <c r="M142"/>
      <c r="R142">
        <v>1</v>
      </c>
      <c r="AJ142">
        <f t="shared" si="4"/>
        <v>618</v>
      </c>
      <c r="AK142">
        <v>2</v>
      </c>
      <c r="AL142" s="23">
        <f>1245/617</f>
        <v>2.0178282009724473</v>
      </c>
    </row>
    <row r="143" spans="1:40">
      <c r="A143" s="15">
        <v>37167</v>
      </c>
      <c r="B143" t="s">
        <v>59</v>
      </c>
      <c r="C143">
        <v>17.5</v>
      </c>
      <c r="D143" t="s">
        <v>138</v>
      </c>
      <c r="E143" t="s">
        <v>115</v>
      </c>
      <c r="F143">
        <v>2001</v>
      </c>
      <c r="G143" t="s">
        <v>16</v>
      </c>
      <c r="H143">
        <v>39</v>
      </c>
      <c r="L143"/>
      <c r="M143"/>
      <c r="R143">
        <v>1</v>
      </c>
      <c r="AJ143">
        <f t="shared" ref="AJ143:AJ174" si="5">SUM(H143:AI143)</f>
        <v>40</v>
      </c>
      <c r="AK143">
        <v>2</v>
      </c>
      <c r="AL143" s="23">
        <f>493/309</f>
        <v>1.5954692556634305</v>
      </c>
      <c r="AN143">
        <v>5</v>
      </c>
    </row>
    <row r="144" spans="1:40">
      <c r="A144" s="15">
        <v>37166</v>
      </c>
      <c r="B144" t="s">
        <v>60</v>
      </c>
      <c r="C144">
        <v>17</v>
      </c>
      <c r="D144" t="s">
        <v>55</v>
      </c>
      <c r="E144" t="s">
        <v>131</v>
      </c>
      <c r="F144">
        <v>2001</v>
      </c>
      <c r="G144" t="s">
        <v>16</v>
      </c>
      <c r="H144">
        <v>2</v>
      </c>
      <c r="L144"/>
      <c r="M144"/>
      <c r="AJ144">
        <f t="shared" si="5"/>
        <v>2</v>
      </c>
      <c r="AK144">
        <v>1</v>
      </c>
      <c r="AL144" s="23">
        <f>35/20</f>
        <v>1.75</v>
      </c>
    </row>
    <row r="145" spans="1:41">
      <c r="A145" s="15">
        <v>37166</v>
      </c>
      <c r="B145" t="s">
        <v>61</v>
      </c>
      <c r="C145">
        <v>17</v>
      </c>
      <c r="D145" t="s">
        <v>55</v>
      </c>
      <c r="E145" t="s">
        <v>131</v>
      </c>
      <c r="F145">
        <v>2001</v>
      </c>
      <c r="G145" t="s">
        <v>16</v>
      </c>
      <c r="H145">
        <v>41</v>
      </c>
      <c r="L145"/>
      <c r="M145"/>
      <c r="R145">
        <v>1</v>
      </c>
      <c r="V145">
        <v>1</v>
      </c>
      <c r="Y145">
        <v>1</v>
      </c>
      <c r="AJ145">
        <f t="shared" si="5"/>
        <v>44</v>
      </c>
      <c r="AK145">
        <v>4</v>
      </c>
      <c r="AL145" s="23">
        <f>101/41</f>
        <v>2.4634146341463414</v>
      </c>
    </row>
    <row r="146" spans="1:41">
      <c r="A146" s="15">
        <v>37166</v>
      </c>
      <c r="B146" t="s">
        <v>63</v>
      </c>
      <c r="C146">
        <v>17</v>
      </c>
      <c r="D146" t="s">
        <v>55</v>
      </c>
      <c r="E146" t="s">
        <v>131</v>
      </c>
      <c r="F146">
        <v>2001</v>
      </c>
      <c r="G146" t="s">
        <v>16</v>
      </c>
      <c r="H146">
        <v>15</v>
      </c>
      <c r="L146"/>
      <c r="M146"/>
      <c r="R146">
        <v>1</v>
      </c>
      <c r="S146">
        <v>1</v>
      </c>
      <c r="V146">
        <v>1</v>
      </c>
      <c r="Y146">
        <v>2</v>
      </c>
      <c r="AJ146">
        <f t="shared" si="5"/>
        <v>20</v>
      </c>
      <c r="AK146">
        <v>5</v>
      </c>
      <c r="AL146" s="23">
        <f>25/15</f>
        <v>1.6666666666666667</v>
      </c>
    </row>
    <row r="147" spans="1:41">
      <c r="A147" s="15">
        <v>37166</v>
      </c>
      <c r="B147" t="s">
        <v>62</v>
      </c>
      <c r="C147">
        <v>17</v>
      </c>
      <c r="D147" t="s">
        <v>56</v>
      </c>
      <c r="E147" t="s">
        <v>130</v>
      </c>
      <c r="F147">
        <v>2001</v>
      </c>
      <c r="G147" t="s">
        <v>16</v>
      </c>
      <c r="L147"/>
      <c r="M147"/>
      <c r="Y147">
        <v>2</v>
      </c>
      <c r="AJ147">
        <f t="shared" si="5"/>
        <v>2</v>
      </c>
      <c r="AK147">
        <v>1</v>
      </c>
      <c r="AN147">
        <f>10/5</f>
        <v>2</v>
      </c>
    </row>
    <row r="148" spans="1:41">
      <c r="A148" s="15">
        <v>37166</v>
      </c>
      <c r="B148" t="s">
        <v>58</v>
      </c>
      <c r="C148">
        <v>17</v>
      </c>
      <c r="D148" t="s">
        <v>138</v>
      </c>
      <c r="E148" t="s">
        <v>115</v>
      </c>
      <c r="F148">
        <v>2001</v>
      </c>
      <c r="G148" t="s">
        <v>16</v>
      </c>
      <c r="H148">
        <v>96</v>
      </c>
      <c r="L148"/>
      <c r="M148"/>
      <c r="Y148">
        <v>1</v>
      </c>
      <c r="AJ148">
        <f t="shared" si="5"/>
        <v>97</v>
      </c>
      <c r="AK148">
        <v>2</v>
      </c>
      <c r="AL148" s="23">
        <f>7/1</f>
        <v>7</v>
      </c>
    </row>
    <row r="149" spans="1:41">
      <c r="A149" s="15">
        <v>37166</v>
      </c>
      <c r="B149" t="s">
        <v>59</v>
      </c>
      <c r="C149">
        <v>17</v>
      </c>
      <c r="D149" t="s">
        <v>138</v>
      </c>
      <c r="E149" t="s">
        <v>115</v>
      </c>
      <c r="F149">
        <v>2001</v>
      </c>
      <c r="G149" t="s">
        <v>16</v>
      </c>
      <c r="H149">
        <v>611</v>
      </c>
      <c r="L149"/>
      <c r="M149"/>
      <c r="Y149">
        <v>1</v>
      </c>
      <c r="AJ149">
        <f t="shared" si="5"/>
        <v>612</v>
      </c>
      <c r="AK149">
        <v>2</v>
      </c>
      <c r="AL149" s="23">
        <f>570/611</f>
        <v>0.93289689034369883</v>
      </c>
    </row>
    <row r="150" spans="1:41">
      <c r="A150" s="15">
        <v>37350</v>
      </c>
      <c r="B150" t="s">
        <v>3</v>
      </c>
      <c r="C150">
        <v>1.5</v>
      </c>
      <c r="D150" t="s">
        <v>138</v>
      </c>
      <c r="E150" t="s">
        <v>115</v>
      </c>
      <c r="F150">
        <v>2002</v>
      </c>
      <c r="G150" t="s">
        <v>15</v>
      </c>
      <c r="H150">
        <v>9</v>
      </c>
      <c r="L150"/>
      <c r="M150"/>
      <c r="AJ150">
        <f t="shared" si="5"/>
        <v>9</v>
      </c>
      <c r="AK150">
        <v>1</v>
      </c>
      <c r="AL150" s="23">
        <f>(15/9)</f>
        <v>1.6666666666666667</v>
      </c>
    </row>
    <row r="151" spans="1:41">
      <c r="A151" s="15">
        <v>37350</v>
      </c>
      <c r="B151" t="s">
        <v>62</v>
      </c>
      <c r="C151">
        <v>4</v>
      </c>
      <c r="D151" t="s">
        <v>56</v>
      </c>
      <c r="E151" t="s">
        <v>130</v>
      </c>
      <c r="F151">
        <v>2002</v>
      </c>
      <c r="G151" t="s">
        <v>15</v>
      </c>
      <c r="L151"/>
      <c r="M151"/>
      <c r="AJ151">
        <f t="shared" si="5"/>
        <v>0</v>
      </c>
      <c r="AK151">
        <v>0</v>
      </c>
      <c r="AO151" t="s">
        <v>4</v>
      </c>
    </row>
    <row r="152" spans="1:41">
      <c r="A152" s="15">
        <v>37350</v>
      </c>
      <c r="B152" t="s">
        <v>59</v>
      </c>
      <c r="C152">
        <v>1.5</v>
      </c>
      <c r="D152" t="s">
        <v>138</v>
      </c>
      <c r="E152" t="s">
        <v>115</v>
      </c>
      <c r="F152">
        <v>2002</v>
      </c>
      <c r="G152" t="s">
        <v>15</v>
      </c>
      <c r="H152">
        <v>55</v>
      </c>
      <c r="J152">
        <v>44</v>
      </c>
      <c r="L152"/>
      <c r="M152"/>
      <c r="AJ152">
        <f t="shared" si="5"/>
        <v>99</v>
      </c>
      <c r="AK152">
        <v>2</v>
      </c>
      <c r="AL152" s="23">
        <f>(215/55)</f>
        <v>3.9090909090909092</v>
      </c>
    </row>
    <row r="153" spans="1:41">
      <c r="A153" s="15">
        <v>37350</v>
      </c>
      <c r="B153" t="s">
        <v>59</v>
      </c>
      <c r="C153">
        <v>1.5</v>
      </c>
      <c r="D153" t="s">
        <v>138</v>
      </c>
      <c r="E153" t="s">
        <v>115</v>
      </c>
      <c r="F153">
        <v>2002</v>
      </c>
      <c r="G153" t="s">
        <v>15</v>
      </c>
      <c r="H153">
        <v>64</v>
      </c>
      <c r="J153">
        <v>1</v>
      </c>
      <c r="L153"/>
      <c r="M153"/>
      <c r="AJ153">
        <f t="shared" si="5"/>
        <v>65</v>
      </c>
      <c r="AK153">
        <v>2</v>
      </c>
      <c r="AL153" s="23">
        <f>(185/64)</f>
        <v>2.890625</v>
      </c>
    </row>
    <row r="154" spans="1:41">
      <c r="A154" s="15">
        <v>37350</v>
      </c>
      <c r="B154" t="s">
        <v>58</v>
      </c>
      <c r="C154">
        <v>1.5</v>
      </c>
      <c r="D154" t="s">
        <v>138</v>
      </c>
      <c r="E154" t="s">
        <v>115</v>
      </c>
      <c r="F154">
        <v>2002</v>
      </c>
      <c r="G154" t="s">
        <v>15</v>
      </c>
      <c r="H154">
        <v>122</v>
      </c>
      <c r="J154">
        <v>29</v>
      </c>
      <c r="L154"/>
      <c r="M154"/>
      <c r="AJ154">
        <f t="shared" si="5"/>
        <v>151</v>
      </c>
      <c r="AK154">
        <v>2</v>
      </c>
      <c r="AL154" s="23">
        <f>(400/122)</f>
        <v>3.278688524590164</v>
      </c>
    </row>
    <row r="155" spans="1:41">
      <c r="A155" s="15">
        <v>37508</v>
      </c>
      <c r="B155" t="s">
        <v>63</v>
      </c>
      <c r="C155">
        <v>15.5</v>
      </c>
      <c r="D155" t="s">
        <v>55</v>
      </c>
      <c r="E155" t="s">
        <v>131</v>
      </c>
      <c r="F155">
        <v>2002</v>
      </c>
      <c r="G155" t="s">
        <v>16</v>
      </c>
      <c r="H155">
        <v>1</v>
      </c>
      <c r="L155"/>
      <c r="M155"/>
      <c r="Y155">
        <v>1</v>
      </c>
      <c r="AJ155">
        <f t="shared" si="5"/>
        <v>2</v>
      </c>
      <c r="AK155">
        <v>2</v>
      </c>
      <c r="AL155" s="23">
        <v>1</v>
      </c>
      <c r="AN155">
        <v>1</v>
      </c>
      <c r="AO155" t="s">
        <v>68</v>
      </c>
    </row>
    <row r="156" spans="1:41">
      <c r="A156" s="15">
        <v>37508</v>
      </c>
      <c r="B156" t="s">
        <v>62</v>
      </c>
      <c r="C156">
        <v>15.5</v>
      </c>
      <c r="D156" t="s">
        <v>56</v>
      </c>
      <c r="E156" t="s">
        <v>130</v>
      </c>
      <c r="F156">
        <v>2002</v>
      </c>
      <c r="G156" t="s">
        <v>16</v>
      </c>
      <c r="H156">
        <v>3</v>
      </c>
      <c r="L156"/>
      <c r="M156"/>
      <c r="Y156">
        <v>2</v>
      </c>
      <c r="AJ156">
        <f t="shared" si="5"/>
        <v>5</v>
      </c>
      <c r="AK156">
        <v>2</v>
      </c>
      <c r="AL156" s="23">
        <v>3.3</v>
      </c>
      <c r="AN156">
        <v>5</v>
      </c>
      <c r="AO156" t="s">
        <v>69</v>
      </c>
    </row>
    <row r="157" spans="1:41">
      <c r="A157" s="15">
        <v>37508</v>
      </c>
      <c r="B157" t="s">
        <v>58</v>
      </c>
      <c r="C157">
        <v>15.5</v>
      </c>
      <c r="D157" t="s">
        <v>138</v>
      </c>
      <c r="E157" t="s">
        <v>115</v>
      </c>
      <c r="F157">
        <v>2002</v>
      </c>
      <c r="G157" t="s">
        <v>16</v>
      </c>
      <c r="H157">
        <v>324</v>
      </c>
      <c r="L157"/>
      <c r="M157"/>
      <c r="Y157">
        <v>2</v>
      </c>
      <c r="AJ157">
        <f t="shared" si="5"/>
        <v>326</v>
      </c>
      <c r="AK157">
        <v>2</v>
      </c>
      <c r="AL157" s="23">
        <v>3.04</v>
      </c>
      <c r="AN157">
        <v>2.5</v>
      </c>
    </row>
    <row r="158" spans="1:41">
      <c r="A158" s="15">
        <v>37508</v>
      </c>
      <c r="B158" t="s">
        <v>59</v>
      </c>
      <c r="C158">
        <v>15.5</v>
      </c>
      <c r="D158" t="s">
        <v>138</v>
      </c>
      <c r="E158" t="s">
        <v>115</v>
      </c>
      <c r="F158">
        <v>2002</v>
      </c>
      <c r="G158" t="s">
        <v>16</v>
      </c>
      <c r="H158">
        <v>441</v>
      </c>
      <c r="L158"/>
      <c r="M158"/>
      <c r="Y158">
        <v>5</v>
      </c>
      <c r="AJ158">
        <f t="shared" si="5"/>
        <v>446</v>
      </c>
      <c r="AK158">
        <v>2</v>
      </c>
      <c r="AL158" s="23">
        <v>2.58</v>
      </c>
      <c r="AN158">
        <v>2.6</v>
      </c>
    </row>
    <row r="159" spans="1:41">
      <c r="A159" s="15">
        <v>37509</v>
      </c>
      <c r="B159" t="s">
        <v>5</v>
      </c>
      <c r="C159">
        <v>23.75</v>
      </c>
      <c r="D159" t="s">
        <v>56</v>
      </c>
      <c r="E159" t="s">
        <v>130</v>
      </c>
      <c r="F159">
        <v>2002</v>
      </c>
      <c r="G159" t="s">
        <v>16</v>
      </c>
      <c r="H159">
        <v>3</v>
      </c>
      <c r="L159"/>
      <c r="M159"/>
      <c r="Y159">
        <v>2</v>
      </c>
      <c r="AJ159">
        <f t="shared" si="5"/>
        <v>5</v>
      </c>
      <c r="AK159">
        <v>2</v>
      </c>
      <c r="AL159" s="23">
        <v>1.7</v>
      </c>
      <c r="AN159">
        <v>2</v>
      </c>
    </row>
    <row r="160" spans="1:41">
      <c r="A160" s="15">
        <v>37509</v>
      </c>
      <c r="B160" t="s">
        <v>63</v>
      </c>
      <c r="C160">
        <v>23.75</v>
      </c>
      <c r="D160" t="s">
        <v>55</v>
      </c>
      <c r="E160" t="s">
        <v>131</v>
      </c>
      <c r="F160">
        <v>2002</v>
      </c>
      <c r="G160" t="s">
        <v>16</v>
      </c>
      <c r="H160">
        <v>97</v>
      </c>
      <c r="L160"/>
      <c r="M160"/>
      <c r="Y160">
        <v>6</v>
      </c>
      <c r="AJ160">
        <f t="shared" si="5"/>
        <v>103</v>
      </c>
      <c r="AK160">
        <v>2</v>
      </c>
      <c r="AL160" s="23">
        <v>1.9</v>
      </c>
      <c r="AN160">
        <v>2.5</v>
      </c>
    </row>
    <row r="161" spans="1:41">
      <c r="A161" s="15">
        <v>37509</v>
      </c>
      <c r="B161" t="s">
        <v>59</v>
      </c>
      <c r="C161">
        <v>23.75</v>
      </c>
      <c r="D161" t="s">
        <v>138</v>
      </c>
      <c r="E161" t="s">
        <v>115</v>
      </c>
      <c r="F161">
        <v>2002</v>
      </c>
      <c r="G161" t="s">
        <v>16</v>
      </c>
      <c r="H161">
        <v>32</v>
      </c>
      <c r="L161"/>
      <c r="M161"/>
      <c r="Y161">
        <v>3</v>
      </c>
      <c r="AJ161">
        <f t="shared" si="5"/>
        <v>35</v>
      </c>
      <c r="AK161">
        <v>2</v>
      </c>
      <c r="AL161" s="23">
        <v>2.4</v>
      </c>
      <c r="AN161">
        <v>13.3</v>
      </c>
    </row>
    <row r="162" spans="1:41">
      <c r="A162" s="15">
        <v>37509</v>
      </c>
      <c r="B162" t="s">
        <v>58</v>
      </c>
      <c r="C162">
        <v>23.75</v>
      </c>
      <c r="D162" t="s">
        <v>138</v>
      </c>
      <c r="E162" t="s">
        <v>115</v>
      </c>
      <c r="F162">
        <v>2002</v>
      </c>
      <c r="G162" t="s">
        <v>16</v>
      </c>
      <c r="H162">
        <v>252</v>
      </c>
      <c r="L162"/>
      <c r="M162"/>
      <c r="Y162">
        <v>3</v>
      </c>
      <c r="AJ162">
        <f t="shared" si="5"/>
        <v>255</v>
      </c>
      <c r="AK162">
        <v>2</v>
      </c>
      <c r="AL162" s="23">
        <v>3.65</v>
      </c>
      <c r="AN162">
        <v>2</v>
      </c>
    </row>
    <row r="163" spans="1:41">
      <c r="A163" s="15">
        <v>37510</v>
      </c>
      <c r="B163" t="s">
        <v>62</v>
      </c>
      <c r="C163">
        <v>24</v>
      </c>
      <c r="D163" t="s">
        <v>56</v>
      </c>
      <c r="E163" t="s">
        <v>130</v>
      </c>
      <c r="F163">
        <v>2002</v>
      </c>
      <c r="G163" t="s">
        <v>16</v>
      </c>
      <c r="H163">
        <v>11</v>
      </c>
      <c r="L163"/>
      <c r="M163"/>
      <c r="Y163">
        <v>2</v>
      </c>
      <c r="AI163">
        <v>1</v>
      </c>
      <c r="AJ163">
        <f t="shared" si="5"/>
        <v>14</v>
      </c>
      <c r="AK163">
        <v>3</v>
      </c>
      <c r="AL163" s="23">
        <v>0.9</v>
      </c>
      <c r="AN163">
        <v>1</v>
      </c>
    </row>
    <row r="164" spans="1:41">
      <c r="A164" s="15">
        <v>37510</v>
      </c>
      <c r="B164" t="s">
        <v>63</v>
      </c>
      <c r="C164">
        <v>24</v>
      </c>
      <c r="D164" t="s">
        <v>55</v>
      </c>
      <c r="E164" t="s">
        <v>131</v>
      </c>
      <c r="F164">
        <v>2002</v>
      </c>
      <c r="G164" t="s">
        <v>16</v>
      </c>
      <c r="H164">
        <v>77</v>
      </c>
      <c r="L164"/>
      <c r="M164"/>
      <c r="Y164">
        <v>12</v>
      </c>
      <c r="AJ164">
        <f t="shared" si="5"/>
        <v>89</v>
      </c>
      <c r="AK164">
        <v>2</v>
      </c>
      <c r="AL164" s="23">
        <v>1.4</v>
      </c>
      <c r="AN164">
        <v>16.670000000000002</v>
      </c>
    </row>
    <row r="165" spans="1:41">
      <c r="A165" s="15">
        <v>37510</v>
      </c>
      <c r="B165" t="s">
        <v>59</v>
      </c>
      <c r="C165">
        <v>24</v>
      </c>
      <c r="D165" t="s">
        <v>138</v>
      </c>
      <c r="E165" t="s">
        <v>115</v>
      </c>
      <c r="F165">
        <v>2002</v>
      </c>
      <c r="G165" t="s">
        <v>16</v>
      </c>
      <c r="H165">
        <v>26</v>
      </c>
      <c r="L165"/>
      <c r="M165"/>
      <c r="Y165">
        <v>9</v>
      </c>
      <c r="AJ165">
        <f t="shared" si="5"/>
        <v>35</v>
      </c>
      <c r="AK165">
        <v>2</v>
      </c>
      <c r="AL165" s="23">
        <v>2.4</v>
      </c>
    </row>
    <row r="166" spans="1:41">
      <c r="A166" s="15">
        <v>37510</v>
      </c>
      <c r="B166" t="s">
        <v>58</v>
      </c>
      <c r="C166">
        <v>24</v>
      </c>
      <c r="D166" t="s">
        <v>138</v>
      </c>
      <c r="E166" t="s">
        <v>115</v>
      </c>
      <c r="F166">
        <v>2002</v>
      </c>
      <c r="G166" t="s">
        <v>16</v>
      </c>
      <c r="H166">
        <v>16</v>
      </c>
      <c r="L166"/>
      <c r="M166"/>
      <c r="Y166">
        <v>6</v>
      </c>
      <c r="AJ166">
        <f t="shared" si="5"/>
        <v>22</v>
      </c>
      <c r="AK166">
        <v>2</v>
      </c>
      <c r="AL166" s="23">
        <v>3.63</v>
      </c>
      <c r="AN166">
        <v>5</v>
      </c>
    </row>
    <row r="167" spans="1:41">
      <c r="A167" s="15">
        <v>37511</v>
      </c>
      <c r="B167" t="s">
        <v>58</v>
      </c>
      <c r="C167">
        <v>23.75</v>
      </c>
      <c r="D167" t="s">
        <v>138</v>
      </c>
      <c r="E167" t="s">
        <v>115</v>
      </c>
      <c r="F167">
        <v>2002</v>
      </c>
      <c r="G167" t="s">
        <v>16</v>
      </c>
      <c r="H167">
        <v>25</v>
      </c>
      <c r="L167"/>
      <c r="M167"/>
      <c r="Y167">
        <v>15</v>
      </c>
      <c r="AJ167">
        <f t="shared" si="5"/>
        <v>40</v>
      </c>
      <c r="AK167">
        <v>2</v>
      </c>
      <c r="AL167" s="23">
        <v>3.94</v>
      </c>
      <c r="AN167">
        <v>4.3</v>
      </c>
    </row>
    <row r="168" spans="1:41">
      <c r="A168" s="15">
        <v>37511</v>
      </c>
      <c r="B168" t="s">
        <v>63</v>
      </c>
      <c r="C168">
        <v>23.75</v>
      </c>
      <c r="D168" t="s">
        <v>55</v>
      </c>
      <c r="E168" t="s">
        <v>131</v>
      </c>
      <c r="F168">
        <v>2002</v>
      </c>
      <c r="G168" t="s">
        <v>16</v>
      </c>
      <c r="H168">
        <v>122</v>
      </c>
      <c r="L168"/>
      <c r="M168"/>
      <c r="S168">
        <v>1</v>
      </c>
      <c r="Y168">
        <v>18</v>
      </c>
      <c r="AJ168">
        <f t="shared" si="5"/>
        <v>141</v>
      </c>
      <c r="AK168">
        <v>3</v>
      </c>
      <c r="AL168" s="23">
        <v>2.17</v>
      </c>
      <c r="AM168">
        <v>15</v>
      </c>
      <c r="AN168">
        <v>4.4000000000000004</v>
      </c>
    </row>
    <row r="169" spans="1:41">
      <c r="A169" s="15">
        <v>37511</v>
      </c>
      <c r="B169" t="s">
        <v>62</v>
      </c>
      <c r="C169">
        <v>23.75</v>
      </c>
      <c r="D169" t="s">
        <v>56</v>
      </c>
      <c r="E169" t="s">
        <v>130</v>
      </c>
      <c r="F169">
        <v>2002</v>
      </c>
      <c r="G169" t="s">
        <v>16</v>
      </c>
      <c r="H169">
        <v>3</v>
      </c>
      <c r="L169"/>
      <c r="M169"/>
      <c r="Y169">
        <v>8</v>
      </c>
      <c r="AJ169">
        <f t="shared" si="5"/>
        <v>11</v>
      </c>
      <c r="AK169">
        <v>2</v>
      </c>
      <c r="AL169" s="23">
        <v>1.6</v>
      </c>
      <c r="AN169">
        <v>4.4000000000000004</v>
      </c>
    </row>
    <row r="170" spans="1:41">
      <c r="A170" s="15">
        <v>37511</v>
      </c>
      <c r="B170" t="s">
        <v>59</v>
      </c>
      <c r="C170">
        <v>23.75</v>
      </c>
      <c r="D170" t="s">
        <v>138</v>
      </c>
      <c r="E170" t="s">
        <v>115</v>
      </c>
      <c r="F170">
        <v>2002</v>
      </c>
      <c r="G170" t="s">
        <v>16</v>
      </c>
      <c r="H170">
        <v>127</v>
      </c>
      <c r="L170"/>
      <c r="M170"/>
      <c r="Y170">
        <v>17</v>
      </c>
      <c r="AJ170">
        <f t="shared" si="5"/>
        <v>144</v>
      </c>
      <c r="AK170">
        <v>2</v>
      </c>
      <c r="AL170" s="23">
        <v>3.46</v>
      </c>
      <c r="AN170">
        <v>3.53</v>
      </c>
    </row>
    <row r="171" spans="1:41">
      <c r="A171" s="15">
        <v>37523</v>
      </c>
      <c r="B171" t="s">
        <v>63</v>
      </c>
      <c r="C171">
        <v>15.5</v>
      </c>
      <c r="D171" t="s">
        <v>55</v>
      </c>
      <c r="E171" t="s">
        <v>131</v>
      </c>
      <c r="F171">
        <v>2002</v>
      </c>
      <c r="G171" t="s">
        <v>16</v>
      </c>
      <c r="H171">
        <v>17</v>
      </c>
      <c r="L171"/>
      <c r="M171"/>
      <c r="Y171">
        <v>5</v>
      </c>
      <c r="AJ171">
        <f t="shared" si="5"/>
        <v>22</v>
      </c>
      <c r="AK171">
        <v>2</v>
      </c>
    </row>
    <row r="172" spans="1:41">
      <c r="A172" s="15">
        <v>37523</v>
      </c>
      <c r="B172" t="s">
        <v>62</v>
      </c>
      <c r="C172">
        <v>15.5</v>
      </c>
      <c r="D172" t="s">
        <v>56</v>
      </c>
      <c r="E172" t="s">
        <v>130</v>
      </c>
      <c r="F172">
        <v>2002</v>
      </c>
      <c r="G172" t="s">
        <v>16</v>
      </c>
      <c r="L172"/>
      <c r="M172"/>
      <c r="AJ172">
        <f t="shared" si="5"/>
        <v>0</v>
      </c>
      <c r="AK172">
        <v>0</v>
      </c>
    </row>
    <row r="173" spans="1:41">
      <c r="A173" s="15">
        <v>37525</v>
      </c>
      <c r="B173" t="s">
        <v>63</v>
      </c>
      <c r="D173" t="s">
        <v>55</v>
      </c>
      <c r="E173" t="s">
        <v>131</v>
      </c>
      <c r="F173">
        <v>2002</v>
      </c>
      <c r="G173" t="s">
        <v>16</v>
      </c>
      <c r="H173">
        <v>17</v>
      </c>
      <c r="L173"/>
      <c r="M173"/>
      <c r="Y173">
        <v>5</v>
      </c>
      <c r="AJ173">
        <f t="shared" si="5"/>
        <v>22</v>
      </c>
      <c r="AK173">
        <v>2</v>
      </c>
      <c r="AL173" s="23">
        <v>3.8</v>
      </c>
      <c r="AN173">
        <v>4</v>
      </c>
      <c r="AO173" t="s">
        <v>6</v>
      </c>
    </row>
    <row r="174" spans="1:41">
      <c r="A174" s="15">
        <v>37525</v>
      </c>
      <c r="B174" t="s">
        <v>58</v>
      </c>
      <c r="D174" t="s">
        <v>138</v>
      </c>
      <c r="E174" t="s">
        <v>115</v>
      </c>
      <c r="F174">
        <v>2002</v>
      </c>
      <c r="G174" t="s">
        <v>16</v>
      </c>
      <c r="H174">
        <v>252</v>
      </c>
      <c r="L174"/>
      <c r="M174"/>
      <c r="Y174">
        <v>1</v>
      </c>
      <c r="AJ174">
        <f t="shared" si="5"/>
        <v>253</v>
      </c>
      <c r="AK174">
        <v>2</v>
      </c>
      <c r="AL174" s="23">
        <v>1.8</v>
      </c>
      <c r="AN174">
        <v>7</v>
      </c>
    </row>
    <row r="175" spans="1:41">
      <c r="A175" s="15">
        <v>37544</v>
      </c>
      <c r="B175" t="s">
        <v>59</v>
      </c>
      <c r="C175">
        <v>4.5</v>
      </c>
      <c r="D175" t="s">
        <v>138</v>
      </c>
      <c r="E175" t="s">
        <v>115</v>
      </c>
      <c r="F175">
        <v>2002</v>
      </c>
      <c r="G175" t="s">
        <v>16</v>
      </c>
      <c r="L175"/>
      <c r="M175"/>
      <c r="AJ175">
        <f t="shared" ref="AJ175:AJ220" si="6">SUM(H175:AI175)</f>
        <v>0</v>
      </c>
      <c r="AK175">
        <v>0</v>
      </c>
      <c r="AO175" t="s">
        <v>7</v>
      </c>
    </row>
    <row r="176" spans="1:41">
      <c r="A176" s="15">
        <v>37544</v>
      </c>
      <c r="B176" t="s">
        <v>58</v>
      </c>
      <c r="C176">
        <v>4.5</v>
      </c>
      <c r="D176" t="s">
        <v>138</v>
      </c>
      <c r="E176" t="s">
        <v>115</v>
      </c>
      <c r="F176">
        <v>2002</v>
      </c>
      <c r="G176" t="s">
        <v>16</v>
      </c>
      <c r="L176"/>
      <c r="M176"/>
      <c r="AJ176">
        <f t="shared" si="6"/>
        <v>0</v>
      </c>
      <c r="AK176">
        <v>0</v>
      </c>
    </row>
    <row r="177" spans="1:38">
      <c r="A177" s="15">
        <v>37774</v>
      </c>
      <c r="B177" t="s">
        <v>59</v>
      </c>
      <c r="C177">
        <v>18.5</v>
      </c>
      <c r="D177" t="s">
        <v>138</v>
      </c>
      <c r="E177" t="s">
        <v>115</v>
      </c>
      <c r="F177">
        <v>2003</v>
      </c>
      <c r="G177" t="s">
        <v>15</v>
      </c>
      <c r="H177">
        <v>106</v>
      </c>
      <c r="L177"/>
      <c r="M177"/>
      <c r="AJ177">
        <f t="shared" si="6"/>
        <v>106</v>
      </c>
      <c r="AK177">
        <v>0</v>
      </c>
      <c r="AL177" s="23">
        <v>4</v>
      </c>
    </row>
    <row r="178" spans="1:38">
      <c r="A178" s="15">
        <v>37774</v>
      </c>
      <c r="B178" t="s">
        <v>58</v>
      </c>
      <c r="C178">
        <v>18.5</v>
      </c>
      <c r="D178" t="s">
        <v>138</v>
      </c>
      <c r="E178" t="s">
        <v>115</v>
      </c>
      <c r="F178">
        <v>2003</v>
      </c>
      <c r="G178" t="s">
        <v>15</v>
      </c>
      <c r="H178">
        <v>72</v>
      </c>
      <c r="L178"/>
      <c r="M178"/>
      <c r="T178">
        <v>1</v>
      </c>
      <c r="AJ178">
        <f t="shared" si="6"/>
        <v>73</v>
      </c>
      <c r="AK178">
        <v>2</v>
      </c>
      <c r="AL178" s="23">
        <v>4</v>
      </c>
    </row>
    <row r="179" spans="1:38">
      <c r="A179" s="15">
        <v>37775</v>
      </c>
      <c r="B179" t="s">
        <v>63</v>
      </c>
      <c r="C179">
        <v>24</v>
      </c>
      <c r="D179" t="s">
        <v>55</v>
      </c>
      <c r="E179" t="s">
        <v>131</v>
      </c>
      <c r="F179">
        <v>2003</v>
      </c>
      <c r="G179" t="s">
        <v>15</v>
      </c>
      <c r="H179">
        <v>0</v>
      </c>
      <c r="L179"/>
      <c r="M179"/>
      <c r="AJ179">
        <f t="shared" si="6"/>
        <v>0</v>
      </c>
      <c r="AK179">
        <v>0</v>
      </c>
    </row>
    <row r="180" spans="1:38">
      <c r="A180" s="15">
        <v>37775</v>
      </c>
      <c r="B180" t="s">
        <v>62</v>
      </c>
      <c r="C180">
        <v>24</v>
      </c>
      <c r="D180" t="s">
        <v>56</v>
      </c>
      <c r="E180" t="s">
        <v>130</v>
      </c>
      <c r="F180">
        <v>2003</v>
      </c>
      <c r="G180" t="s">
        <v>15</v>
      </c>
      <c r="H180">
        <v>0</v>
      </c>
      <c r="L180"/>
      <c r="M180"/>
      <c r="AD180">
        <v>7</v>
      </c>
      <c r="AJ180">
        <f t="shared" si="6"/>
        <v>7</v>
      </c>
      <c r="AK180">
        <v>1</v>
      </c>
    </row>
    <row r="181" spans="1:38">
      <c r="A181" s="15">
        <v>37775</v>
      </c>
      <c r="B181" t="s">
        <v>59</v>
      </c>
      <c r="C181">
        <v>24</v>
      </c>
      <c r="D181" t="s">
        <v>138</v>
      </c>
      <c r="E181" t="s">
        <v>115</v>
      </c>
      <c r="F181">
        <v>2003</v>
      </c>
      <c r="G181" t="s">
        <v>15</v>
      </c>
      <c r="H181">
        <v>111</v>
      </c>
      <c r="L181"/>
      <c r="M181"/>
      <c r="AJ181">
        <f t="shared" si="6"/>
        <v>111</v>
      </c>
      <c r="AK181">
        <v>1</v>
      </c>
      <c r="AL181" s="23">
        <v>3.15</v>
      </c>
    </row>
    <row r="182" spans="1:38">
      <c r="A182" s="15">
        <v>37775</v>
      </c>
      <c r="B182" t="s">
        <v>58</v>
      </c>
      <c r="C182">
        <v>24</v>
      </c>
      <c r="D182" t="s">
        <v>138</v>
      </c>
      <c r="E182" t="s">
        <v>115</v>
      </c>
      <c r="F182">
        <v>2003</v>
      </c>
      <c r="G182" t="s">
        <v>15</v>
      </c>
      <c r="H182">
        <v>92</v>
      </c>
      <c r="L182"/>
      <c r="M182"/>
      <c r="AJ182">
        <f t="shared" si="6"/>
        <v>92</v>
      </c>
      <c r="AK182">
        <v>1</v>
      </c>
      <c r="AL182" s="23">
        <v>3.09</v>
      </c>
    </row>
    <row r="183" spans="1:38">
      <c r="A183" s="15">
        <v>40334</v>
      </c>
      <c r="B183" t="s">
        <v>63</v>
      </c>
      <c r="C183">
        <v>16</v>
      </c>
      <c r="D183" t="s">
        <v>55</v>
      </c>
      <c r="E183" t="s">
        <v>131</v>
      </c>
      <c r="F183">
        <v>2003</v>
      </c>
      <c r="G183" t="s">
        <v>15</v>
      </c>
      <c r="L183"/>
      <c r="M183"/>
      <c r="S183">
        <v>1</v>
      </c>
      <c r="AJ183">
        <f t="shared" si="6"/>
        <v>1</v>
      </c>
      <c r="AK183">
        <v>1</v>
      </c>
    </row>
    <row r="184" spans="1:38">
      <c r="A184" s="15">
        <v>40334</v>
      </c>
      <c r="B184" t="s">
        <v>62</v>
      </c>
      <c r="C184">
        <v>16</v>
      </c>
      <c r="D184" t="s">
        <v>56</v>
      </c>
      <c r="E184" t="s">
        <v>130</v>
      </c>
      <c r="F184">
        <v>2003</v>
      </c>
      <c r="G184" t="s">
        <v>15</v>
      </c>
      <c r="L184"/>
      <c r="M184"/>
      <c r="X184">
        <v>2</v>
      </c>
      <c r="AJ184">
        <f t="shared" si="6"/>
        <v>2</v>
      </c>
      <c r="AK184">
        <v>1</v>
      </c>
    </row>
    <row r="185" spans="1:38">
      <c r="A185" s="15">
        <v>40334</v>
      </c>
      <c r="B185" t="s">
        <v>59</v>
      </c>
      <c r="C185">
        <v>16</v>
      </c>
      <c r="D185" t="s">
        <v>138</v>
      </c>
      <c r="E185" t="s">
        <v>115</v>
      </c>
      <c r="F185">
        <v>2003</v>
      </c>
      <c r="G185" t="s">
        <v>15</v>
      </c>
      <c r="H185">
        <v>90</v>
      </c>
      <c r="J185">
        <v>1</v>
      </c>
      <c r="L185"/>
      <c r="M185"/>
      <c r="AJ185">
        <f t="shared" si="6"/>
        <v>91</v>
      </c>
      <c r="AK185">
        <v>2</v>
      </c>
      <c r="AL185" s="23">
        <v>3</v>
      </c>
    </row>
    <row r="186" spans="1:38">
      <c r="A186" s="15">
        <v>40334</v>
      </c>
      <c r="B186" t="s">
        <v>58</v>
      </c>
      <c r="C186">
        <v>16</v>
      </c>
      <c r="D186" t="s">
        <v>138</v>
      </c>
      <c r="E186" t="s">
        <v>115</v>
      </c>
      <c r="F186">
        <v>2003</v>
      </c>
      <c r="G186" t="s">
        <v>15</v>
      </c>
      <c r="H186">
        <v>43</v>
      </c>
      <c r="L186"/>
      <c r="M186"/>
      <c r="T186">
        <v>1</v>
      </c>
      <c r="AJ186">
        <f t="shared" si="6"/>
        <v>44</v>
      </c>
      <c r="AK186">
        <v>2</v>
      </c>
      <c r="AL186" s="23">
        <v>3</v>
      </c>
    </row>
    <row r="187" spans="1:38">
      <c r="A187" s="15">
        <v>37778</v>
      </c>
      <c r="B187" t="s">
        <v>63</v>
      </c>
      <c r="C187">
        <v>24</v>
      </c>
      <c r="D187" t="s">
        <v>55</v>
      </c>
      <c r="E187" t="s">
        <v>131</v>
      </c>
      <c r="F187">
        <v>2003</v>
      </c>
      <c r="G187" t="s">
        <v>15</v>
      </c>
      <c r="L187"/>
      <c r="M187"/>
      <c r="X187">
        <v>2</v>
      </c>
      <c r="AD187">
        <v>14</v>
      </c>
      <c r="AJ187">
        <f t="shared" si="6"/>
        <v>16</v>
      </c>
      <c r="AK187">
        <v>2</v>
      </c>
    </row>
    <row r="188" spans="1:38">
      <c r="A188" s="15">
        <v>37778</v>
      </c>
      <c r="B188" t="s">
        <v>62</v>
      </c>
      <c r="C188">
        <v>24</v>
      </c>
      <c r="D188" t="s">
        <v>56</v>
      </c>
      <c r="E188" t="s">
        <v>130</v>
      </c>
      <c r="F188">
        <v>2003</v>
      </c>
      <c r="G188" t="s">
        <v>15</v>
      </c>
      <c r="L188"/>
      <c r="M188"/>
      <c r="S188">
        <v>2</v>
      </c>
      <c r="AJ188">
        <f>SUM(H188:AI188)</f>
        <v>2</v>
      </c>
      <c r="AK188">
        <v>1</v>
      </c>
    </row>
    <row r="189" spans="1:38">
      <c r="A189" s="15">
        <v>37778</v>
      </c>
      <c r="B189" t="s">
        <v>59</v>
      </c>
      <c r="C189">
        <v>24</v>
      </c>
      <c r="D189" t="s">
        <v>138</v>
      </c>
      <c r="E189" t="s">
        <v>115</v>
      </c>
      <c r="F189">
        <v>2003</v>
      </c>
      <c r="G189" t="s">
        <v>15</v>
      </c>
      <c r="H189">
        <v>101</v>
      </c>
      <c r="L189"/>
      <c r="M189"/>
      <c r="AJ189">
        <f t="shared" si="6"/>
        <v>101</v>
      </c>
      <c r="AK189">
        <v>1</v>
      </c>
      <c r="AL189" s="23">
        <v>2.7</v>
      </c>
    </row>
    <row r="190" spans="1:38">
      <c r="A190" s="15">
        <v>37778</v>
      </c>
      <c r="B190" t="s">
        <v>58</v>
      </c>
      <c r="C190">
        <v>24</v>
      </c>
      <c r="D190" t="s">
        <v>138</v>
      </c>
      <c r="E190" t="s">
        <v>115</v>
      </c>
      <c r="F190">
        <v>2003</v>
      </c>
      <c r="G190" t="s">
        <v>15</v>
      </c>
      <c r="H190">
        <v>42</v>
      </c>
      <c r="L190"/>
      <c r="M190"/>
      <c r="AJ190">
        <f t="shared" si="6"/>
        <v>42</v>
      </c>
      <c r="AK190">
        <v>1</v>
      </c>
      <c r="AL190" s="23">
        <v>3.6</v>
      </c>
    </row>
    <row r="191" spans="1:38">
      <c r="A191" s="15">
        <v>37893</v>
      </c>
      <c r="B191" t="s">
        <v>63</v>
      </c>
      <c r="C191">
        <v>23.5</v>
      </c>
      <c r="D191" t="s">
        <v>55</v>
      </c>
      <c r="E191" t="s">
        <v>131</v>
      </c>
      <c r="F191">
        <v>2003</v>
      </c>
      <c r="G191" t="s">
        <v>16</v>
      </c>
      <c r="H191">
        <v>86</v>
      </c>
      <c r="I191">
        <v>1</v>
      </c>
      <c r="L191"/>
      <c r="M191"/>
      <c r="AJ191">
        <f t="shared" si="6"/>
        <v>87</v>
      </c>
      <c r="AK191">
        <v>2</v>
      </c>
    </row>
    <row r="192" spans="1:38">
      <c r="A192" s="15">
        <v>37893</v>
      </c>
      <c r="B192" t="s">
        <v>62</v>
      </c>
      <c r="C192">
        <v>23.5</v>
      </c>
      <c r="D192" t="s">
        <v>56</v>
      </c>
      <c r="E192" t="s">
        <v>130</v>
      </c>
      <c r="F192">
        <v>2003</v>
      </c>
      <c r="G192" t="s">
        <v>16</v>
      </c>
      <c r="H192">
        <v>134</v>
      </c>
      <c r="L192"/>
      <c r="M192"/>
      <c r="U192">
        <v>1</v>
      </c>
      <c r="AJ192">
        <f t="shared" si="6"/>
        <v>135</v>
      </c>
      <c r="AK192">
        <v>2</v>
      </c>
    </row>
    <row r="193" spans="1:40">
      <c r="A193" s="15">
        <v>37893</v>
      </c>
      <c r="B193" t="s">
        <v>59</v>
      </c>
      <c r="C193">
        <v>23.5</v>
      </c>
      <c r="D193" t="s">
        <v>138</v>
      </c>
      <c r="E193" t="s">
        <v>115</v>
      </c>
      <c r="F193">
        <v>2003</v>
      </c>
      <c r="G193" t="s">
        <v>16</v>
      </c>
      <c r="H193">
        <v>219</v>
      </c>
      <c r="L193"/>
      <c r="M193"/>
      <c r="AJ193">
        <f t="shared" si="6"/>
        <v>219</v>
      </c>
      <c r="AK193">
        <v>1</v>
      </c>
    </row>
    <row r="194" spans="1:40">
      <c r="A194" s="15">
        <v>37893</v>
      </c>
      <c r="B194" t="s">
        <v>58</v>
      </c>
      <c r="C194">
        <v>23.5</v>
      </c>
      <c r="D194" t="s">
        <v>138</v>
      </c>
      <c r="E194" t="s">
        <v>115</v>
      </c>
      <c r="F194">
        <v>2003</v>
      </c>
      <c r="G194" t="s">
        <v>16</v>
      </c>
      <c r="H194">
        <v>2</v>
      </c>
      <c r="L194"/>
      <c r="M194"/>
      <c r="AJ194">
        <f t="shared" si="6"/>
        <v>2</v>
      </c>
      <c r="AK194">
        <v>1</v>
      </c>
    </row>
    <row r="195" spans="1:40">
      <c r="A195" s="15">
        <v>37894</v>
      </c>
      <c r="B195" t="s">
        <v>63</v>
      </c>
      <c r="C195">
        <v>23.5</v>
      </c>
      <c r="D195" t="s">
        <v>55</v>
      </c>
      <c r="E195" t="s">
        <v>131</v>
      </c>
      <c r="F195">
        <v>2003</v>
      </c>
      <c r="G195" t="s">
        <v>16</v>
      </c>
      <c r="H195">
        <v>86</v>
      </c>
      <c r="L195"/>
      <c r="M195"/>
      <c r="S195">
        <v>3</v>
      </c>
      <c r="Y195">
        <v>1</v>
      </c>
      <c r="AJ195">
        <f t="shared" si="6"/>
        <v>90</v>
      </c>
      <c r="AK195">
        <v>3</v>
      </c>
      <c r="AL195" s="23">
        <v>2.0299999999999998</v>
      </c>
      <c r="AM195">
        <v>16.600000000000001</v>
      </c>
    </row>
    <row r="196" spans="1:40">
      <c r="A196" s="15">
        <v>37894</v>
      </c>
      <c r="B196" t="s">
        <v>62</v>
      </c>
      <c r="C196">
        <v>23.5</v>
      </c>
      <c r="D196" t="s">
        <v>56</v>
      </c>
      <c r="E196" t="s">
        <v>130</v>
      </c>
      <c r="F196">
        <v>2003</v>
      </c>
      <c r="G196" t="s">
        <v>16</v>
      </c>
      <c r="H196">
        <v>127</v>
      </c>
      <c r="L196"/>
      <c r="M196"/>
      <c r="Y196">
        <v>1</v>
      </c>
      <c r="AJ196">
        <f t="shared" si="6"/>
        <v>128</v>
      </c>
      <c r="AK196">
        <v>2</v>
      </c>
      <c r="AL196" s="23">
        <v>1.8</v>
      </c>
    </row>
    <row r="197" spans="1:40">
      <c r="A197" s="15">
        <v>37894</v>
      </c>
      <c r="B197" t="s">
        <v>59</v>
      </c>
      <c r="C197">
        <v>23.5</v>
      </c>
      <c r="D197" t="s">
        <v>138</v>
      </c>
      <c r="E197" t="s">
        <v>115</v>
      </c>
      <c r="F197">
        <v>2003</v>
      </c>
      <c r="G197" t="s">
        <v>16</v>
      </c>
      <c r="H197">
        <v>284</v>
      </c>
      <c r="L197"/>
      <c r="M197"/>
      <c r="AJ197">
        <f t="shared" si="6"/>
        <v>284</v>
      </c>
      <c r="AK197">
        <v>1</v>
      </c>
      <c r="AL197" s="23">
        <v>3.2</v>
      </c>
    </row>
    <row r="198" spans="1:40">
      <c r="A198" s="15">
        <v>37894</v>
      </c>
      <c r="B198" t="s">
        <v>58</v>
      </c>
      <c r="C198">
        <v>23.5</v>
      </c>
      <c r="D198" t="s">
        <v>138</v>
      </c>
      <c r="E198" t="s">
        <v>115</v>
      </c>
      <c r="F198">
        <v>2003</v>
      </c>
      <c r="G198" t="s">
        <v>16</v>
      </c>
      <c r="H198">
        <v>211</v>
      </c>
      <c r="L198"/>
      <c r="M198"/>
      <c r="AJ198">
        <f t="shared" si="6"/>
        <v>211</v>
      </c>
      <c r="AK198">
        <v>1</v>
      </c>
      <c r="AL198" s="23">
        <v>3.43</v>
      </c>
    </row>
    <row r="199" spans="1:40">
      <c r="A199" s="15">
        <v>37895</v>
      </c>
      <c r="B199" t="s">
        <v>63</v>
      </c>
      <c r="C199">
        <v>24.5</v>
      </c>
      <c r="D199" t="s">
        <v>55</v>
      </c>
      <c r="E199" t="s">
        <v>131</v>
      </c>
      <c r="F199">
        <v>2003</v>
      </c>
      <c r="G199" t="s">
        <v>16</v>
      </c>
      <c r="H199">
        <v>9</v>
      </c>
      <c r="L199"/>
      <c r="M199"/>
      <c r="Y199">
        <v>1</v>
      </c>
      <c r="AJ199">
        <f t="shared" si="6"/>
        <v>10</v>
      </c>
      <c r="AK199">
        <v>2</v>
      </c>
      <c r="AL199" s="23">
        <v>2.1</v>
      </c>
      <c r="AN199">
        <v>5</v>
      </c>
    </row>
    <row r="200" spans="1:40">
      <c r="A200" s="15">
        <v>37895</v>
      </c>
      <c r="B200" t="s">
        <v>62</v>
      </c>
      <c r="C200">
        <v>24.5</v>
      </c>
      <c r="D200" t="s">
        <v>56</v>
      </c>
      <c r="E200" t="s">
        <v>130</v>
      </c>
      <c r="F200">
        <v>2003</v>
      </c>
      <c r="G200" t="s">
        <v>16</v>
      </c>
      <c r="H200">
        <v>114</v>
      </c>
      <c r="L200"/>
      <c r="M200"/>
      <c r="S200">
        <v>1</v>
      </c>
      <c r="AJ200">
        <f t="shared" si="6"/>
        <v>115</v>
      </c>
      <c r="AK200">
        <v>2</v>
      </c>
      <c r="AL200" s="23">
        <v>1.6</v>
      </c>
      <c r="AM200">
        <v>5</v>
      </c>
    </row>
    <row r="201" spans="1:40">
      <c r="A201" s="15">
        <v>37895</v>
      </c>
      <c r="B201" t="s">
        <v>59</v>
      </c>
      <c r="C201">
        <v>24.5</v>
      </c>
      <c r="D201" t="s">
        <v>138</v>
      </c>
      <c r="E201" t="s">
        <v>115</v>
      </c>
      <c r="F201">
        <v>2003</v>
      </c>
      <c r="G201" t="s">
        <v>16</v>
      </c>
      <c r="H201">
        <v>29</v>
      </c>
      <c r="L201"/>
      <c r="M201"/>
      <c r="AJ201">
        <f t="shared" si="6"/>
        <v>29</v>
      </c>
      <c r="AK201">
        <v>1</v>
      </c>
      <c r="AL201" s="23">
        <v>1.9</v>
      </c>
    </row>
    <row r="202" spans="1:40">
      <c r="A202" s="15">
        <v>37896</v>
      </c>
      <c r="B202" t="s">
        <v>63</v>
      </c>
      <c r="C202">
        <v>23</v>
      </c>
      <c r="D202" t="s">
        <v>55</v>
      </c>
      <c r="E202" t="s">
        <v>131</v>
      </c>
      <c r="F202">
        <v>2003</v>
      </c>
      <c r="G202" t="s">
        <v>16</v>
      </c>
      <c r="H202">
        <v>19</v>
      </c>
      <c r="L202"/>
      <c r="M202"/>
      <c r="AJ202">
        <f t="shared" si="6"/>
        <v>19</v>
      </c>
      <c r="AK202">
        <v>1</v>
      </c>
      <c r="AL202" s="23">
        <v>1.6</v>
      </c>
    </row>
    <row r="203" spans="1:40">
      <c r="A203" s="15">
        <v>37896</v>
      </c>
      <c r="B203" t="s">
        <v>62</v>
      </c>
      <c r="C203">
        <v>23</v>
      </c>
      <c r="D203" t="s">
        <v>56</v>
      </c>
      <c r="E203" t="s">
        <v>130</v>
      </c>
      <c r="F203">
        <v>2003</v>
      </c>
      <c r="G203" t="s">
        <v>16</v>
      </c>
      <c r="H203">
        <v>65</v>
      </c>
      <c r="L203"/>
      <c r="M203"/>
      <c r="AJ203">
        <f t="shared" si="6"/>
        <v>65</v>
      </c>
      <c r="AK203">
        <v>1</v>
      </c>
      <c r="AL203" s="23">
        <v>1.6</v>
      </c>
    </row>
    <row r="204" spans="1:40">
      <c r="A204" s="15">
        <v>37896</v>
      </c>
      <c r="B204" t="s">
        <v>59</v>
      </c>
      <c r="C204">
        <v>23</v>
      </c>
      <c r="D204" t="s">
        <v>138</v>
      </c>
      <c r="E204" t="s">
        <v>115</v>
      </c>
      <c r="F204">
        <v>2003</v>
      </c>
      <c r="G204" t="s">
        <v>16</v>
      </c>
      <c r="H204">
        <v>266</v>
      </c>
      <c r="L204"/>
      <c r="M204"/>
      <c r="AJ204">
        <f t="shared" si="6"/>
        <v>266</v>
      </c>
      <c r="AK204">
        <v>1</v>
      </c>
      <c r="AL204" s="23">
        <v>1.9</v>
      </c>
    </row>
    <row r="205" spans="1:40">
      <c r="A205" s="15">
        <v>37896</v>
      </c>
      <c r="B205" t="s">
        <v>58</v>
      </c>
      <c r="C205">
        <v>23</v>
      </c>
      <c r="D205" t="s">
        <v>138</v>
      </c>
      <c r="E205" t="s">
        <v>115</v>
      </c>
      <c r="F205">
        <v>2003</v>
      </c>
      <c r="G205" t="s">
        <v>16</v>
      </c>
      <c r="H205">
        <v>243</v>
      </c>
      <c r="L205"/>
      <c r="M205"/>
      <c r="AJ205">
        <f t="shared" si="6"/>
        <v>243</v>
      </c>
      <c r="AK205">
        <v>1</v>
      </c>
      <c r="AL205" s="23">
        <v>2.2999999999999998</v>
      </c>
    </row>
    <row r="206" spans="1:40">
      <c r="A206" s="15">
        <v>37910</v>
      </c>
      <c r="B206" t="s">
        <v>63</v>
      </c>
      <c r="C206">
        <v>20.5</v>
      </c>
      <c r="D206" t="s">
        <v>55</v>
      </c>
      <c r="E206" t="s">
        <v>131</v>
      </c>
      <c r="F206">
        <v>2003</v>
      </c>
      <c r="G206" t="s">
        <v>16</v>
      </c>
      <c r="H206">
        <v>15</v>
      </c>
      <c r="L206"/>
      <c r="M206"/>
      <c r="AJ206">
        <f t="shared" si="6"/>
        <v>15</v>
      </c>
      <c r="AK206">
        <v>1</v>
      </c>
      <c r="AL206" s="23">
        <v>1.3</v>
      </c>
    </row>
    <row r="207" spans="1:40">
      <c r="A207" s="15">
        <v>37910</v>
      </c>
      <c r="B207" t="s">
        <v>62</v>
      </c>
      <c r="C207">
        <v>20.5</v>
      </c>
      <c r="D207" t="s">
        <v>56</v>
      </c>
      <c r="E207" t="s">
        <v>130</v>
      </c>
      <c r="F207">
        <v>2003</v>
      </c>
      <c r="G207" t="s">
        <v>16</v>
      </c>
      <c r="H207">
        <v>4</v>
      </c>
      <c r="L207"/>
      <c r="M207"/>
      <c r="AJ207">
        <f t="shared" si="6"/>
        <v>4</v>
      </c>
      <c r="AK207">
        <v>1</v>
      </c>
      <c r="AL207" s="23">
        <v>1.3</v>
      </c>
    </row>
    <row r="208" spans="1:40">
      <c r="A208" s="15">
        <v>37910</v>
      </c>
      <c r="B208" t="s">
        <v>59</v>
      </c>
      <c r="C208">
        <v>20.5</v>
      </c>
      <c r="D208" t="s">
        <v>138</v>
      </c>
      <c r="E208" t="s">
        <v>115</v>
      </c>
      <c r="F208">
        <v>2003</v>
      </c>
      <c r="G208" t="s">
        <v>16</v>
      </c>
      <c r="H208">
        <v>225</v>
      </c>
      <c r="L208"/>
      <c r="M208"/>
      <c r="AJ208">
        <f t="shared" si="6"/>
        <v>225</v>
      </c>
      <c r="AK208">
        <v>1</v>
      </c>
      <c r="AL208" s="23">
        <v>1.2</v>
      </c>
    </row>
    <row r="209" spans="1:39">
      <c r="A209" s="15">
        <v>37910</v>
      </c>
      <c r="B209" t="s">
        <v>58</v>
      </c>
      <c r="C209">
        <v>20.5</v>
      </c>
      <c r="D209" t="s">
        <v>138</v>
      </c>
      <c r="E209" t="s">
        <v>115</v>
      </c>
      <c r="F209">
        <v>2003</v>
      </c>
      <c r="G209" t="s">
        <v>16</v>
      </c>
      <c r="H209">
        <v>168</v>
      </c>
      <c r="L209"/>
      <c r="M209"/>
      <c r="AJ209">
        <f t="shared" si="6"/>
        <v>168</v>
      </c>
      <c r="AK209">
        <v>1</v>
      </c>
      <c r="AL209" s="23">
        <v>1.4</v>
      </c>
    </row>
    <row r="210" spans="1:39">
      <c r="A210" s="15">
        <v>37911</v>
      </c>
      <c r="B210" t="s">
        <v>63</v>
      </c>
      <c r="C210">
        <v>24</v>
      </c>
      <c r="D210" t="s">
        <v>55</v>
      </c>
      <c r="E210" t="s">
        <v>131</v>
      </c>
      <c r="F210">
        <v>2003</v>
      </c>
      <c r="G210" t="s">
        <v>16</v>
      </c>
      <c r="L210"/>
      <c r="M210"/>
      <c r="AJ210">
        <f t="shared" si="6"/>
        <v>0</v>
      </c>
      <c r="AK210">
        <v>1</v>
      </c>
    </row>
    <row r="211" spans="1:39">
      <c r="A211" s="15">
        <v>37911</v>
      </c>
      <c r="B211" t="s">
        <v>62</v>
      </c>
      <c r="C211">
        <v>24</v>
      </c>
      <c r="D211" t="s">
        <v>56</v>
      </c>
      <c r="E211" t="s">
        <v>130</v>
      </c>
      <c r="F211">
        <v>2003</v>
      </c>
      <c r="G211" t="s">
        <v>16</v>
      </c>
      <c r="H211">
        <v>4</v>
      </c>
      <c r="L211"/>
      <c r="M211"/>
      <c r="AJ211">
        <f t="shared" si="6"/>
        <v>4</v>
      </c>
      <c r="AK211">
        <v>1</v>
      </c>
      <c r="AL211" s="23">
        <v>3.1</v>
      </c>
    </row>
    <row r="212" spans="1:39">
      <c r="A212" s="15">
        <v>37911</v>
      </c>
      <c r="B212" t="s">
        <v>59</v>
      </c>
      <c r="C212">
        <v>24</v>
      </c>
      <c r="D212" t="s">
        <v>138</v>
      </c>
      <c r="E212" t="s">
        <v>115</v>
      </c>
      <c r="F212">
        <v>2003</v>
      </c>
      <c r="G212" t="s">
        <v>16</v>
      </c>
      <c r="H212">
        <v>112</v>
      </c>
      <c r="L212"/>
      <c r="M212"/>
      <c r="AJ212">
        <f t="shared" si="6"/>
        <v>112</v>
      </c>
      <c r="AK212">
        <v>1</v>
      </c>
      <c r="AL212" s="23">
        <v>1.3</v>
      </c>
    </row>
    <row r="213" spans="1:39">
      <c r="A213" s="15">
        <v>37911</v>
      </c>
      <c r="B213" t="s">
        <v>58</v>
      </c>
      <c r="C213">
        <v>24</v>
      </c>
      <c r="D213" t="s">
        <v>138</v>
      </c>
      <c r="E213" t="s">
        <v>115</v>
      </c>
      <c r="F213">
        <v>2003</v>
      </c>
      <c r="G213" t="s">
        <v>16</v>
      </c>
      <c r="H213">
        <v>134</v>
      </c>
      <c r="L213"/>
      <c r="M213"/>
      <c r="AJ213">
        <f t="shared" si="6"/>
        <v>134</v>
      </c>
      <c r="AK213">
        <v>1</v>
      </c>
      <c r="AL213" s="23">
        <v>1.5</v>
      </c>
    </row>
    <row r="214" spans="1:39">
      <c r="A214" s="15">
        <v>37924</v>
      </c>
      <c r="B214" t="s">
        <v>63</v>
      </c>
      <c r="C214">
        <v>15</v>
      </c>
      <c r="D214" t="s">
        <v>55</v>
      </c>
      <c r="E214" t="s">
        <v>131</v>
      </c>
      <c r="F214">
        <v>2003</v>
      </c>
      <c r="G214" t="s">
        <v>16</v>
      </c>
      <c r="H214">
        <v>112</v>
      </c>
      <c r="L214"/>
      <c r="M214"/>
      <c r="AJ214">
        <f t="shared" si="6"/>
        <v>112</v>
      </c>
      <c r="AK214">
        <v>1</v>
      </c>
      <c r="AL214" s="23">
        <v>2.5</v>
      </c>
    </row>
    <row r="215" spans="1:39">
      <c r="A215" s="15">
        <v>37924</v>
      </c>
      <c r="B215" t="s">
        <v>62</v>
      </c>
      <c r="C215">
        <v>15</v>
      </c>
      <c r="D215" t="s">
        <v>56</v>
      </c>
      <c r="E215" t="s">
        <v>130</v>
      </c>
      <c r="F215">
        <v>2003</v>
      </c>
      <c r="G215" t="s">
        <v>16</v>
      </c>
      <c r="H215">
        <v>45</v>
      </c>
      <c r="L215"/>
      <c r="M215"/>
      <c r="AG215">
        <v>1</v>
      </c>
      <c r="AJ215">
        <f t="shared" si="6"/>
        <v>46</v>
      </c>
      <c r="AK215">
        <v>2</v>
      </c>
      <c r="AL215" s="23">
        <v>1.2</v>
      </c>
    </row>
    <row r="216" spans="1:39">
      <c r="A216" s="15">
        <v>37924</v>
      </c>
      <c r="B216" t="s">
        <v>59</v>
      </c>
      <c r="C216">
        <v>15</v>
      </c>
      <c r="D216" t="s">
        <v>138</v>
      </c>
      <c r="E216" t="s">
        <v>115</v>
      </c>
      <c r="F216">
        <v>2003</v>
      </c>
      <c r="G216" t="s">
        <v>16</v>
      </c>
      <c r="H216">
        <v>181</v>
      </c>
      <c r="L216"/>
      <c r="M216"/>
      <c r="AJ216">
        <f t="shared" si="6"/>
        <v>181</v>
      </c>
      <c r="AK216">
        <v>1</v>
      </c>
      <c r="AL216" s="23">
        <v>1.3</v>
      </c>
    </row>
    <row r="217" spans="1:39">
      <c r="A217" s="15">
        <v>37924</v>
      </c>
      <c r="B217" t="s">
        <v>58</v>
      </c>
      <c r="C217">
        <v>15</v>
      </c>
      <c r="D217" t="s">
        <v>138</v>
      </c>
      <c r="E217" t="s">
        <v>115</v>
      </c>
      <c r="F217">
        <v>2003</v>
      </c>
      <c r="G217" t="s">
        <v>16</v>
      </c>
      <c r="H217">
        <v>172</v>
      </c>
      <c r="L217"/>
      <c r="M217"/>
      <c r="AJ217">
        <f t="shared" si="6"/>
        <v>172</v>
      </c>
      <c r="AK217">
        <v>1</v>
      </c>
      <c r="AL217" s="23">
        <v>1.8</v>
      </c>
    </row>
    <row r="218" spans="1:39">
      <c r="A218" s="15">
        <v>38140</v>
      </c>
      <c r="B218" t="s">
        <v>61</v>
      </c>
      <c r="C218">
        <v>14.5</v>
      </c>
      <c r="D218" t="s">
        <v>55</v>
      </c>
      <c r="E218" t="s">
        <v>131</v>
      </c>
      <c r="F218">
        <v>2004</v>
      </c>
      <c r="G218" t="s">
        <v>15</v>
      </c>
      <c r="H218">
        <v>76</v>
      </c>
      <c r="L218">
        <f>SUM(L8:L23)</f>
        <v>0</v>
      </c>
      <c r="M218">
        <f>SUM(M8:M23)</f>
        <v>0</v>
      </c>
      <c r="N218">
        <f>SUM(N8:N23)</f>
        <v>0</v>
      </c>
      <c r="O218">
        <f>SUM(O8:O23)</f>
        <v>0</v>
      </c>
      <c r="P218">
        <f>SUM(P8:P23)</f>
        <v>0</v>
      </c>
      <c r="T218">
        <v>1</v>
      </c>
      <c r="AJ218">
        <f t="shared" si="6"/>
        <v>77</v>
      </c>
      <c r="AK218">
        <v>2</v>
      </c>
      <c r="AL218" s="23">
        <f>175/76</f>
        <v>2.3026315789473686</v>
      </c>
    </row>
    <row r="219" spans="1:39">
      <c r="A219" s="15">
        <v>38140</v>
      </c>
      <c r="B219" t="s">
        <v>62</v>
      </c>
      <c r="C219">
        <v>14.5</v>
      </c>
      <c r="D219" t="s">
        <v>56</v>
      </c>
      <c r="E219" t="s">
        <v>130</v>
      </c>
      <c r="F219">
        <v>2004</v>
      </c>
      <c r="G219" t="s">
        <v>15</v>
      </c>
      <c r="H219">
        <v>44</v>
      </c>
      <c r="J219">
        <v>2</v>
      </c>
      <c r="L219"/>
      <c r="M219"/>
      <c r="T219">
        <v>2</v>
      </c>
      <c r="AJ219">
        <f t="shared" si="6"/>
        <v>48</v>
      </c>
      <c r="AK219">
        <v>3</v>
      </c>
      <c r="AL219" s="23">
        <f>100/44</f>
        <v>2.2727272727272729</v>
      </c>
    </row>
    <row r="220" spans="1:39">
      <c r="A220" s="15">
        <v>38140</v>
      </c>
      <c r="B220" t="s">
        <v>59</v>
      </c>
      <c r="C220">
        <v>14.5</v>
      </c>
      <c r="D220" t="s">
        <v>138</v>
      </c>
      <c r="E220" t="s">
        <v>115</v>
      </c>
      <c r="F220">
        <v>2004</v>
      </c>
      <c r="G220" t="s">
        <v>15</v>
      </c>
      <c r="H220">
        <v>466</v>
      </c>
      <c r="L220"/>
      <c r="M220"/>
      <c r="AF220">
        <v>1</v>
      </c>
      <c r="AJ220">
        <f t="shared" si="6"/>
        <v>467</v>
      </c>
      <c r="AK220">
        <v>3</v>
      </c>
      <c r="AL220" s="23">
        <f>1040/466</f>
        <v>2.2317596566523603</v>
      </c>
    </row>
    <row r="221" spans="1:39">
      <c r="A221" s="15">
        <v>38140</v>
      </c>
      <c r="B221" t="s">
        <v>58</v>
      </c>
      <c r="C221">
        <v>14.5</v>
      </c>
      <c r="D221" t="s">
        <v>138</v>
      </c>
      <c r="E221" t="s">
        <v>115</v>
      </c>
      <c r="F221">
        <v>2004</v>
      </c>
      <c r="G221" t="s">
        <v>15</v>
      </c>
      <c r="H221">
        <v>15</v>
      </c>
      <c r="L221"/>
      <c r="M221"/>
      <c r="AJ221">
        <f t="shared" ref="AJ221:AJ252" si="7">SUM(H221:AI221)</f>
        <v>15</v>
      </c>
      <c r="AK221">
        <v>1</v>
      </c>
      <c r="AL221" s="23">
        <f>330/150</f>
        <v>2.2000000000000002</v>
      </c>
    </row>
    <row r="222" spans="1:39">
      <c r="A222" s="15">
        <v>38141</v>
      </c>
      <c r="B222" t="s">
        <v>61</v>
      </c>
      <c r="C222">
        <v>24</v>
      </c>
      <c r="D222" t="s">
        <v>55</v>
      </c>
      <c r="E222" t="s">
        <v>131</v>
      </c>
      <c r="F222">
        <v>2004</v>
      </c>
      <c r="G222" t="s">
        <v>15</v>
      </c>
      <c r="H222">
        <v>115</v>
      </c>
      <c r="L222"/>
      <c r="M222"/>
      <c r="S222">
        <v>1</v>
      </c>
      <c r="AJ222">
        <f t="shared" si="7"/>
        <v>116</v>
      </c>
      <c r="AK222">
        <v>2</v>
      </c>
      <c r="AL222" s="23">
        <f>315/115</f>
        <v>2.7391304347826089</v>
      </c>
      <c r="AM222">
        <v>25</v>
      </c>
    </row>
    <row r="223" spans="1:39">
      <c r="A223" s="15">
        <v>38141</v>
      </c>
      <c r="B223" t="s">
        <v>62</v>
      </c>
      <c r="C223">
        <v>24</v>
      </c>
      <c r="D223" t="s">
        <v>56</v>
      </c>
      <c r="E223" t="s">
        <v>130</v>
      </c>
      <c r="F223">
        <v>2004</v>
      </c>
      <c r="G223" t="s">
        <v>15</v>
      </c>
      <c r="H223">
        <v>26</v>
      </c>
      <c r="L223"/>
      <c r="M223"/>
      <c r="S223">
        <v>1</v>
      </c>
      <c r="U223">
        <v>3</v>
      </c>
      <c r="AA223">
        <v>1</v>
      </c>
      <c r="AB223">
        <v>2</v>
      </c>
      <c r="AJ223">
        <f t="shared" si="7"/>
        <v>33</v>
      </c>
      <c r="AK223">
        <v>5</v>
      </c>
      <c r="AL223" s="23">
        <f>360/206</f>
        <v>1.7475728155339805</v>
      </c>
      <c r="AM223">
        <v>10</v>
      </c>
    </row>
    <row r="224" spans="1:39">
      <c r="A224" s="15">
        <v>38141</v>
      </c>
      <c r="B224" t="s">
        <v>59</v>
      </c>
      <c r="C224">
        <v>24</v>
      </c>
      <c r="D224" t="s">
        <v>138</v>
      </c>
      <c r="E224" t="s">
        <v>115</v>
      </c>
      <c r="F224">
        <v>2004</v>
      </c>
      <c r="G224" t="s">
        <v>15</v>
      </c>
      <c r="H224">
        <v>36</v>
      </c>
      <c r="L224"/>
      <c r="M224"/>
      <c r="AJ224">
        <f t="shared" si="7"/>
        <v>36</v>
      </c>
      <c r="AK224">
        <v>1</v>
      </c>
      <c r="AL224" s="23">
        <f>705/306</f>
        <v>2.3039215686274508</v>
      </c>
    </row>
    <row r="225" spans="1:40">
      <c r="A225" s="15">
        <v>38141</v>
      </c>
      <c r="B225" t="s">
        <v>58</v>
      </c>
      <c r="C225">
        <v>24</v>
      </c>
      <c r="D225" t="s">
        <v>138</v>
      </c>
      <c r="E225" t="s">
        <v>115</v>
      </c>
      <c r="F225">
        <v>2004</v>
      </c>
      <c r="G225" t="s">
        <v>15</v>
      </c>
      <c r="H225">
        <v>25</v>
      </c>
      <c r="L225"/>
      <c r="M225"/>
      <c r="AJ225">
        <f t="shared" si="7"/>
        <v>25</v>
      </c>
      <c r="AK225">
        <v>1</v>
      </c>
      <c r="AL225" s="23">
        <f>275/250</f>
        <v>1.1000000000000001</v>
      </c>
    </row>
    <row r="226" spans="1:40">
      <c r="A226" s="15">
        <v>38142</v>
      </c>
      <c r="B226" t="s">
        <v>61</v>
      </c>
      <c r="C226">
        <v>24</v>
      </c>
      <c r="D226" t="s">
        <v>55</v>
      </c>
      <c r="E226" t="s">
        <v>131</v>
      </c>
      <c r="F226">
        <v>2004</v>
      </c>
      <c r="G226" t="s">
        <v>15</v>
      </c>
      <c r="H226">
        <v>164</v>
      </c>
      <c r="K226">
        <v>1</v>
      </c>
      <c r="L226"/>
      <c r="M226"/>
      <c r="U226">
        <v>2</v>
      </c>
      <c r="AB226">
        <v>4</v>
      </c>
      <c r="AJ226">
        <f t="shared" si="7"/>
        <v>171</v>
      </c>
      <c r="AK226">
        <v>4</v>
      </c>
      <c r="AL226" s="23">
        <f>405/164</f>
        <v>2.4695121951219514</v>
      </c>
    </row>
    <row r="227" spans="1:40">
      <c r="A227" s="15">
        <v>38142</v>
      </c>
      <c r="B227" t="s">
        <v>62</v>
      </c>
      <c r="C227">
        <v>24</v>
      </c>
      <c r="D227" t="s">
        <v>56</v>
      </c>
      <c r="E227" t="s">
        <v>130</v>
      </c>
      <c r="F227">
        <v>2004</v>
      </c>
      <c r="G227" t="s">
        <v>15</v>
      </c>
      <c r="H227">
        <v>1</v>
      </c>
      <c r="K227">
        <v>1</v>
      </c>
      <c r="L227"/>
      <c r="M227"/>
      <c r="U227">
        <v>9</v>
      </c>
      <c r="AB227">
        <v>4</v>
      </c>
      <c r="AD227">
        <v>1</v>
      </c>
      <c r="AJ227">
        <f t="shared" si="7"/>
        <v>16</v>
      </c>
      <c r="AK227">
        <v>5</v>
      </c>
      <c r="AL227" s="23">
        <f>180/100</f>
        <v>1.8</v>
      </c>
    </row>
    <row r="228" spans="1:40">
      <c r="A228" s="15">
        <v>38142</v>
      </c>
      <c r="B228" t="s">
        <v>58</v>
      </c>
      <c r="C228">
        <v>24</v>
      </c>
      <c r="D228" t="s">
        <v>138</v>
      </c>
      <c r="E228" t="s">
        <v>115</v>
      </c>
      <c r="F228">
        <v>2004</v>
      </c>
      <c r="G228" t="s">
        <v>15</v>
      </c>
      <c r="H228">
        <v>253</v>
      </c>
      <c r="L228"/>
      <c r="M228"/>
      <c r="T228">
        <v>1</v>
      </c>
      <c r="AJ228">
        <f t="shared" si="7"/>
        <v>254</v>
      </c>
      <c r="AK228">
        <v>2</v>
      </c>
      <c r="AL228" s="23">
        <f>405/253</f>
        <v>1.6007905138339922</v>
      </c>
    </row>
    <row r="229" spans="1:40">
      <c r="A229" s="15">
        <v>38148</v>
      </c>
      <c r="B229" t="s">
        <v>61</v>
      </c>
      <c r="C229">
        <v>16.5</v>
      </c>
      <c r="D229" t="s">
        <v>55</v>
      </c>
      <c r="E229" t="s">
        <v>131</v>
      </c>
      <c r="F229">
        <v>2004</v>
      </c>
      <c r="G229" t="s">
        <v>15</v>
      </c>
      <c r="H229">
        <v>115</v>
      </c>
      <c r="K229">
        <v>1</v>
      </c>
      <c r="L229"/>
      <c r="M229"/>
      <c r="AJ229">
        <f t="shared" si="7"/>
        <v>116</v>
      </c>
      <c r="AK229">
        <v>2</v>
      </c>
      <c r="AL229" s="23">
        <f>115/77</f>
        <v>1.4935064935064934</v>
      </c>
    </row>
    <row r="230" spans="1:40">
      <c r="A230" s="15">
        <v>38148</v>
      </c>
      <c r="B230" t="s">
        <v>62</v>
      </c>
      <c r="C230">
        <v>16.5</v>
      </c>
      <c r="D230" t="s">
        <v>56</v>
      </c>
      <c r="E230" t="s">
        <v>130</v>
      </c>
      <c r="F230">
        <v>2004</v>
      </c>
      <c r="G230" t="s">
        <v>15</v>
      </c>
      <c r="J230">
        <v>1</v>
      </c>
      <c r="L230"/>
      <c r="M230"/>
      <c r="AJ230">
        <f t="shared" si="7"/>
        <v>1</v>
      </c>
      <c r="AK230">
        <v>1</v>
      </c>
    </row>
    <row r="231" spans="1:40">
      <c r="A231" s="15">
        <v>38148</v>
      </c>
      <c r="B231" t="s">
        <v>59</v>
      </c>
      <c r="C231">
        <v>3</v>
      </c>
      <c r="D231" t="s">
        <v>138</v>
      </c>
      <c r="E231" t="s">
        <v>115</v>
      </c>
      <c r="F231">
        <v>2004</v>
      </c>
      <c r="G231" t="s">
        <v>15</v>
      </c>
      <c r="H231">
        <v>284</v>
      </c>
      <c r="L231"/>
      <c r="M231"/>
      <c r="T231">
        <v>2</v>
      </c>
      <c r="AJ231">
        <f t="shared" si="7"/>
        <v>286</v>
      </c>
      <c r="AK231">
        <v>2</v>
      </c>
      <c r="AL231" s="23">
        <f>490/284</f>
        <v>1.7253521126760563</v>
      </c>
    </row>
    <row r="232" spans="1:40">
      <c r="A232" s="15">
        <v>38148</v>
      </c>
      <c r="B232" t="s">
        <v>58</v>
      </c>
      <c r="C232">
        <v>3</v>
      </c>
      <c r="D232" t="s">
        <v>138</v>
      </c>
      <c r="E232" t="s">
        <v>115</v>
      </c>
      <c r="F232">
        <v>2004</v>
      </c>
      <c r="G232" t="s">
        <v>15</v>
      </c>
      <c r="H232">
        <v>273</v>
      </c>
      <c r="L232"/>
      <c r="M232"/>
      <c r="AJ232">
        <f t="shared" si="7"/>
        <v>273</v>
      </c>
      <c r="AK232">
        <v>1</v>
      </c>
      <c r="AL232" s="23">
        <f>440/273</f>
        <v>1.6117216117216118</v>
      </c>
    </row>
    <row r="233" spans="1:40">
      <c r="A233" s="15">
        <v>38245</v>
      </c>
      <c r="B233" t="s">
        <v>61</v>
      </c>
      <c r="C233">
        <v>14</v>
      </c>
      <c r="D233" t="s">
        <v>55</v>
      </c>
      <c r="E233" t="s">
        <v>131</v>
      </c>
      <c r="F233">
        <v>2004</v>
      </c>
      <c r="G233" t="s">
        <v>16</v>
      </c>
      <c r="H233">
        <v>13</v>
      </c>
      <c r="L233"/>
      <c r="M233"/>
      <c r="AJ233">
        <f t="shared" si="7"/>
        <v>13</v>
      </c>
      <c r="AK233">
        <v>1</v>
      </c>
      <c r="AL233" s="23">
        <v>2</v>
      </c>
    </row>
    <row r="234" spans="1:40">
      <c r="A234" s="15">
        <v>38245</v>
      </c>
      <c r="B234" t="s">
        <v>63</v>
      </c>
      <c r="C234">
        <v>14</v>
      </c>
      <c r="D234" t="s">
        <v>55</v>
      </c>
      <c r="E234" t="s">
        <v>131</v>
      </c>
      <c r="F234">
        <v>2004</v>
      </c>
      <c r="G234" t="s">
        <v>16</v>
      </c>
      <c r="H234">
        <v>6</v>
      </c>
      <c r="L234"/>
      <c r="M234"/>
      <c r="AJ234">
        <f t="shared" si="7"/>
        <v>6</v>
      </c>
      <c r="AK234">
        <v>1</v>
      </c>
      <c r="AL234" s="23">
        <v>0.33</v>
      </c>
    </row>
    <row r="235" spans="1:40">
      <c r="A235" s="15">
        <v>38245</v>
      </c>
      <c r="B235" t="s">
        <v>59</v>
      </c>
      <c r="C235">
        <v>13.5</v>
      </c>
      <c r="D235" t="s">
        <v>138</v>
      </c>
      <c r="E235" t="s">
        <v>115</v>
      </c>
      <c r="F235">
        <v>2004</v>
      </c>
      <c r="G235" t="s">
        <v>16</v>
      </c>
      <c r="H235">
        <v>237</v>
      </c>
      <c r="L235"/>
      <c r="M235"/>
      <c r="AJ235">
        <f t="shared" si="7"/>
        <v>237</v>
      </c>
      <c r="AK235">
        <v>1</v>
      </c>
      <c r="AL235" s="23">
        <v>2</v>
      </c>
    </row>
    <row r="236" spans="1:40">
      <c r="A236" s="15">
        <v>38245</v>
      </c>
      <c r="B236" t="s">
        <v>58</v>
      </c>
      <c r="C236">
        <v>13.5</v>
      </c>
      <c r="D236" t="s">
        <v>138</v>
      </c>
      <c r="E236" t="s">
        <v>115</v>
      </c>
      <c r="F236">
        <v>2004</v>
      </c>
      <c r="G236" t="s">
        <v>16</v>
      </c>
      <c r="H236">
        <v>575</v>
      </c>
      <c r="L236"/>
      <c r="M236"/>
      <c r="AJ236">
        <f t="shared" si="7"/>
        <v>575</v>
      </c>
      <c r="AK236">
        <v>1</v>
      </c>
      <c r="AL236" s="23">
        <v>3.5</v>
      </c>
    </row>
    <row r="237" spans="1:40">
      <c r="A237" s="15">
        <v>38246</v>
      </c>
      <c r="B237" t="s">
        <v>61</v>
      </c>
      <c r="C237">
        <v>23.5</v>
      </c>
      <c r="D237" t="s">
        <v>55</v>
      </c>
      <c r="E237" t="s">
        <v>131</v>
      </c>
      <c r="F237">
        <v>2004</v>
      </c>
      <c r="G237" t="s">
        <v>16</v>
      </c>
      <c r="H237">
        <v>116</v>
      </c>
      <c r="L237"/>
      <c r="M237"/>
      <c r="Y237">
        <v>1</v>
      </c>
      <c r="AJ237">
        <f t="shared" si="7"/>
        <v>117</v>
      </c>
      <c r="AK237">
        <v>2</v>
      </c>
      <c r="AL237" s="23">
        <v>1.7</v>
      </c>
      <c r="AN237">
        <v>3</v>
      </c>
    </row>
    <row r="238" spans="1:40">
      <c r="A238" s="15">
        <v>38246</v>
      </c>
      <c r="B238" t="s">
        <v>63</v>
      </c>
      <c r="C238">
        <v>23.5</v>
      </c>
      <c r="D238" t="s">
        <v>55</v>
      </c>
      <c r="E238" t="s">
        <v>131</v>
      </c>
      <c r="F238">
        <v>2004</v>
      </c>
      <c r="G238" t="s">
        <v>16</v>
      </c>
      <c r="H238">
        <v>13</v>
      </c>
      <c r="L238"/>
      <c r="M238"/>
      <c r="AJ238">
        <f t="shared" si="7"/>
        <v>13</v>
      </c>
      <c r="AK238">
        <v>1</v>
      </c>
      <c r="AL238" s="23">
        <v>3</v>
      </c>
    </row>
    <row r="239" spans="1:40">
      <c r="A239" s="15">
        <v>38246</v>
      </c>
      <c r="B239" t="s">
        <v>59</v>
      </c>
      <c r="C239">
        <v>19.5</v>
      </c>
      <c r="D239" t="s">
        <v>138</v>
      </c>
      <c r="E239" t="s">
        <v>115</v>
      </c>
      <c r="F239">
        <v>2004</v>
      </c>
      <c r="G239" t="s">
        <v>16</v>
      </c>
      <c r="H239">
        <v>181</v>
      </c>
      <c r="L239"/>
      <c r="M239"/>
      <c r="AJ239">
        <f t="shared" si="7"/>
        <v>181</v>
      </c>
      <c r="AK239">
        <v>1</v>
      </c>
      <c r="AL239" s="23">
        <v>2</v>
      </c>
    </row>
    <row r="240" spans="1:40">
      <c r="A240" s="15">
        <v>38250</v>
      </c>
      <c r="B240" t="s">
        <v>61</v>
      </c>
      <c r="C240">
        <v>3</v>
      </c>
      <c r="D240" t="s">
        <v>55</v>
      </c>
      <c r="E240" t="s">
        <v>131</v>
      </c>
      <c r="F240">
        <v>2004</v>
      </c>
      <c r="G240" t="s">
        <v>16</v>
      </c>
      <c r="H240">
        <v>8</v>
      </c>
      <c r="L240"/>
      <c r="M240"/>
      <c r="AJ240">
        <f t="shared" si="7"/>
        <v>8</v>
      </c>
      <c r="AK240">
        <v>1</v>
      </c>
      <c r="AL240" s="23">
        <v>2.5</v>
      </c>
    </row>
    <row r="241" spans="1:40">
      <c r="A241" s="15">
        <v>38250</v>
      </c>
      <c r="B241" t="s">
        <v>63</v>
      </c>
      <c r="C241">
        <v>2.7</v>
      </c>
      <c r="D241" t="s">
        <v>55</v>
      </c>
      <c r="E241" t="s">
        <v>131</v>
      </c>
      <c r="F241">
        <v>2004</v>
      </c>
      <c r="G241" t="s">
        <v>16</v>
      </c>
      <c r="L241"/>
      <c r="M241"/>
      <c r="AJ241">
        <f t="shared" si="7"/>
        <v>0</v>
      </c>
      <c r="AK241">
        <v>0</v>
      </c>
    </row>
    <row r="242" spans="1:40">
      <c r="A242" s="15">
        <v>38250</v>
      </c>
      <c r="B242" t="s">
        <v>59</v>
      </c>
      <c r="C242">
        <v>2</v>
      </c>
      <c r="D242" t="s">
        <v>138</v>
      </c>
      <c r="E242" t="s">
        <v>115</v>
      </c>
      <c r="F242">
        <v>2004</v>
      </c>
      <c r="G242" t="s">
        <v>16</v>
      </c>
      <c r="H242">
        <v>1</v>
      </c>
      <c r="L242"/>
      <c r="M242"/>
      <c r="AJ242">
        <f t="shared" si="7"/>
        <v>1</v>
      </c>
      <c r="AK242">
        <v>1</v>
      </c>
      <c r="AL242" s="23">
        <v>2.6</v>
      </c>
    </row>
    <row r="243" spans="1:40">
      <c r="A243" s="15">
        <v>38251</v>
      </c>
      <c r="B243" t="s">
        <v>61</v>
      </c>
      <c r="C243">
        <v>24.5</v>
      </c>
      <c r="D243" t="s">
        <v>55</v>
      </c>
      <c r="E243" t="s">
        <v>131</v>
      </c>
      <c r="F243">
        <v>2004</v>
      </c>
      <c r="G243" t="s">
        <v>16</v>
      </c>
      <c r="H243">
        <v>82</v>
      </c>
      <c r="L243"/>
      <c r="M243"/>
      <c r="AJ243">
        <f t="shared" si="7"/>
        <v>82</v>
      </c>
      <c r="AK243">
        <v>1</v>
      </c>
      <c r="AL243" s="23">
        <v>2.8</v>
      </c>
    </row>
    <row r="244" spans="1:40">
      <c r="A244" s="15">
        <v>38251</v>
      </c>
      <c r="B244" t="s">
        <v>63</v>
      </c>
      <c r="C244">
        <v>24.5</v>
      </c>
      <c r="D244" t="s">
        <v>55</v>
      </c>
      <c r="E244" t="s">
        <v>131</v>
      </c>
      <c r="F244">
        <v>2004</v>
      </c>
      <c r="G244" t="s">
        <v>16</v>
      </c>
      <c r="H244">
        <v>127</v>
      </c>
      <c r="L244"/>
      <c r="M244"/>
      <c r="AJ244">
        <f t="shared" si="7"/>
        <v>127</v>
      </c>
      <c r="AK244">
        <v>1</v>
      </c>
      <c r="AL244" s="23">
        <v>1.7</v>
      </c>
    </row>
    <row r="245" spans="1:40">
      <c r="A245" s="15">
        <v>38251</v>
      </c>
      <c r="B245" t="s">
        <v>62</v>
      </c>
      <c r="C245">
        <v>24.5</v>
      </c>
      <c r="D245" t="s">
        <v>56</v>
      </c>
      <c r="E245" t="s">
        <v>130</v>
      </c>
      <c r="F245">
        <v>2004</v>
      </c>
      <c r="G245" t="s">
        <v>16</v>
      </c>
      <c r="H245">
        <v>42</v>
      </c>
      <c r="L245"/>
      <c r="M245"/>
      <c r="AJ245">
        <f t="shared" si="7"/>
        <v>42</v>
      </c>
      <c r="AK245">
        <v>1</v>
      </c>
      <c r="AL245" s="23">
        <v>1.2</v>
      </c>
    </row>
    <row r="246" spans="1:40">
      <c r="A246" s="15">
        <v>38251</v>
      </c>
      <c r="B246" t="s">
        <v>59</v>
      </c>
      <c r="C246">
        <v>18.5</v>
      </c>
      <c r="D246" t="s">
        <v>138</v>
      </c>
      <c r="E246" t="s">
        <v>115</v>
      </c>
      <c r="F246">
        <v>2004</v>
      </c>
      <c r="G246" t="s">
        <v>16</v>
      </c>
      <c r="H246">
        <v>16</v>
      </c>
      <c r="L246"/>
      <c r="M246"/>
      <c r="AJ246">
        <f t="shared" si="7"/>
        <v>16</v>
      </c>
      <c r="AK246">
        <v>1</v>
      </c>
      <c r="AL246" s="23">
        <v>1.9</v>
      </c>
    </row>
    <row r="247" spans="1:40">
      <c r="A247" s="15">
        <v>38253</v>
      </c>
      <c r="B247" t="s">
        <v>61</v>
      </c>
      <c r="C247">
        <v>16</v>
      </c>
      <c r="D247" t="s">
        <v>55</v>
      </c>
      <c r="E247" t="s">
        <v>131</v>
      </c>
      <c r="F247">
        <v>2004</v>
      </c>
      <c r="G247" t="s">
        <v>16</v>
      </c>
      <c r="H247">
        <v>126</v>
      </c>
      <c r="L247"/>
      <c r="M247"/>
      <c r="AJ247">
        <f t="shared" si="7"/>
        <v>126</v>
      </c>
      <c r="AK247">
        <v>1</v>
      </c>
      <c r="AL247" s="23">
        <v>2.8</v>
      </c>
    </row>
    <row r="248" spans="1:40">
      <c r="A248" s="15">
        <v>38253</v>
      </c>
      <c r="B248" t="s">
        <v>63</v>
      </c>
      <c r="C248">
        <v>14</v>
      </c>
      <c r="D248" t="s">
        <v>55</v>
      </c>
      <c r="E248" t="s">
        <v>131</v>
      </c>
      <c r="F248">
        <v>2004</v>
      </c>
      <c r="G248" t="s">
        <v>16</v>
      </c>
      <c r="H248">
        <v>147</v>
      </c>
      <c r="L248"/>
      <c r="M248"/>
      <c r="AJ248">
        <f t="shared" si="7"/>
        <v>147</v>
      </c>
      <c r="AK248">
        <v>1</v>
      </c>
      <c r="AL248" s="23">
        <v>2.7</v>
      </c>
    </row>
    <row r="249" spans="1:40">
      <c r="A249" s="15">
        <v>38253</v>
      </c>
      <c r="B249" t="s">
        <v>62</v>
      </c>
      <c r="C249">
        <v>14</v>
      </c>
      <c r="D249" t="s">
        <v>56</v>
      </c>
      <c r="E249" t="s">
        <v>130</v>
      </c>
      <c r="F249">
        <v>2004</v>
      </c>
      <c r="G249" t="s">
        <v>16</v>
      </c>
      <c r="H249">
        <v>48</v>
      </c>
      <c r="L249"/>
      <c r="M249"/>
      <c r="AJ249">
        <f t="shared" si="7"/>
        <v>48</v>
      </c>
      <c r="AK249">
        <v>1</v>
      </c>
      <c r="AL249" s="23">
        <v>1.1000000000000001</v>
      </c>
    </row>
    <row r="250" spans="1:40">
      <c r="A250" s="15">
        <v>38253</v>
      </c>
      <c r="B250" t="s">
        <v>59</v>
      </c>
      <c r="C250">
        <v>14</v>
      </c>
      <c r="D250" t="s">
        <v>138</v>
      </c>
      <c r="E250" t="s">
        <v>115</v>
      </c>
      <c r="F250">
        <v>2004</v>
      </c>
      <c r="G250" t="s">
        <v>16</v>
      </c>
      <c r="H250">
        <v>99</v>
      </c>
      <c r="L250"/>
      <c r="M250"/>
      <c r="AJ250">
        <f t="shared" si="7"/>
        <v>99</v>
      </c>
      <c r="AK250">
        <v>1</v>
      </c>
      <c r="AL250" s="23">
        <v>1.7</v>
      </c>
    </row>
    <row r="251" spans="1:40">
      <c r="A251" s="15">
        <v>38254</v>
      </c>
      <c r="B251" t="s">
        <v>61</v>
      </c>
      <c r="C251">
        <v>17.5</v>
      </c>
      <c r="D251" t="s">
        <v>55</v>
      </c>
      <c r="E251" t="s">
        <v>131</v>
      </c>
      <c r="F251">
        <v>2004</v>
      </c>
      <c r="G251" t="s">
        <v>16</v>
      </c>
      <c r="H251">
        <v>15</v>
      </c>
      <c r="L251"/>
      <c r="M251"/>
      <c r="Y251">
        <v>27</v>
      </c>
      <c r="AG251">
        <v>1</v>
      </c>
      <c r="AJ251">
        <f t="shared" si="7"/>
        <v>43</v>
      </c>
      <c r="AK251">
        <v>3</v>
      </c>
      <c r="AL251" s="23">
        <v>3</v>
      </c>
      <c r="AN251">
        <v>4.5999999999999996</v>
      </c>
    </row>
    <row r="252" spans="1:40">
      <c r="A252" s="15">
        <v>38254</v>
      </c>
      <c r="B252" t="s">
        <v>63</v>
      </c>
      <c r="C252">
        <v>17.5</v>
      </c>
      <c r="D252" t="s">
        <v>55</v>
      </c>
      <c r="E252" t="s">
        <v>131</v>
      </c>
      <c r="F252">
        <v>2004</v>
      </c>
      <c r="G252" t="s">
        <v>16</v>
      </c>
      <c r="H252">
        <v>34</v>
      </c>
      <c r="L252"/>
      <c r="M252"/>
      <c r="AJ252">
        <f t="shared" si="7"/>
        <v>34</v>
      </c>
      <c r="AK252">
        <v>2</v>
      </c>
      <c r="AL252" s="23">
        <v>2.4</v>
      </c>
    </row>
    <row r="253" spans="1:40">
      <c r="A253" s="15">
        <v>38254</v>
      </c>
      <c r="B253" t="s">
        <v>62</v>
      </c>
      <c r="C253">
        <v>17.5</v>
      </c>
      <c r="D253" t="s">
        <v>56</v>
      </c>
      <c r="E253" t="s">
        <v>130</v>
      </c>
      <c r="F253">
        <v>2004</v>
      </c>
      <c r="G253" t="s">
        <v>16</v>
      </c>
      <c r="H253">
        <v>16</v>
      </c>
      <c r="L253"/>
      <c r="M253"/>
      <c r="AJ253">
        <f t="shared" ref="AJ253:AJ262" si="8">SUM(H253:AI253)</f>
        <v>16</v>
      </c>
      <c r="AK253">
        <v>1</v>
      </c>
      <c r="AL253" s="23">
        <v>2</v>
      </c>
    </row>
    <row r="254" spans="1:40">
      <c r="A254" s="15">
        <v>38254</v>
      </c>
      <c r="B254" t="s">
        <v>59</v>
      </c>
      <c r="C254">
        <v>17.5</v>
      </c>
      <c r="D254" t="s">
        <v>138</v>
      </c>
      <c r="E254" t="s">
        <v>115</v>
      </c>
      <c r="F254">
        <v>2004</v>
      </c>
      <c r="G254" t="s">
        <v>16</v>
      </c>
      <c r="H254">
        <v>219</v>
      </c>
      <c r="L254"/>
      <c r="M254"/>
      <c r="AJ254">
        <f t="shared" si="8"/>
        <v>219</v>
      </c>
      <c r="AK254">
        <v>1</v>
      </c>
      <c r="AL254" s="23">
        <v>2</v>
      </c>
    </row>
    <row r="255" spans="1:40">
      <c r="A255" s="15">
        <v>38509</v>
      </c>
      <c r="B255" t="s">
        <v>59</v>
      </c>
      <c r="C255">
        <v>0.66</v>
      </c>
      <c r="D255" t="s">
        <v>138</v>
      </c>
      <c r="E255" t="s">
        <v>115</v>
      </c>
      <c r="F255">
        <v>2005</v>
      </c>
      <c r="G255" t="s">
        <v>15</v>
      </c>
      <c r="H255">
        <v>14</v>
      </c>
      <c r="L255"/>
      <c r="M255"/>
      <c r="AJ255">
        <f t="shared" si="8"/>
        <v>14</v>
      </c>
      <c r="AK255">
        <v>1</v>
      </c>
      <c r="AL255" s="23">
        <f>390/104</f>
        <v>3.75</v>
      </c>
    </row>
    <row r="256" spans="1:40">
      <c r="A256" s="15">
        <v>38509</v>
      </c>
      <c r="B256" t="s">
        <v>58</v>
      </c>
      <c r="C256">
        <v>1.33</v>
      </c>
      <c r="D256" t="s">
        <v>138</v>
      </c>
      <c r="E256" t="s">
        <v>115</v>
      </c>
      <c r="F256">
        <v>2005</v>
      </c>
      <c r="G256" t="s">
        <v>15</v>
      </c>
      <c r="J256">
        <v>1</v>
      </c>
      <c r="L256"/>
      <c r="M256"/>
      <c r="AJ256">
        <f t="shared" si="8"/>
        <v>1</v>
      </c>
      <c r="AK256">
        <v>1</v>
      </c>
      <c r="AL256" s="23">
        <v>0</v>
      </c>
    </row>
    <row r="257" spans="1:41">
      <c r="A257" s="15">
        <v>38510</v>
      </c>
      <c r="B257" t="s">
        <v>59</v>
      </c>
      <c r="C257">
        <v>19.5</v>
      </c>
      <c r="D257" t="s">
        <v>138</v>
      </c>
      <c r="E257" t="s">
        <v>115</v>
      </c>
      <c r="F257">
        <v>2005</v>
      </c>
      <c r="G257" t="s">
        <v>15</v>
      </c>
      <c r="H257">
        <v>171</v>
      </c>
      <c r="L257"/>
      <c r="M257"/>
      <c r="S257">
        <v>1</v>
      </c>
      <c r="U257">
        <v>1</v>
      </c>
      <c r="AJ257">
        <f t="shared" si="8"/>
        <v>173</v>
      </c>
      <c r="AK257">
        <v>3</v>
      </c>
      <c r="AL257" s="23">
        <f>520/171</f>
        <v>3.0409356725146197</v>
      </c>
      <c r="AM257">
        <v>5</v>
      </c>
    </row>
    <row r="258" spans="1:41">
      <c r="A258" s="15">
        <v>38510</v>
      </c>
      <c r="B258" t="s">
        <v>58</v>
      </c>
      <c r="C258">
        <v>19.5</v>
      </c>
      <c r="D258" t="s">
        <v>138</v>
      </c>
      <c r="E258" t="s">
        <v>115</v>
      </c>
      <c r="F258">
        <v>2005</v>
      </c>
      <c r="G258" t="s">
        <v>15</v>
      </c>
      <c r="H258">
        <v>18</v>
      </c>
      <c r="L258"/>
      <c r="M258"/>
      <c r="AJ258">
        <f t="shared" si="8"/>
        <v>18</v>
      </c>
      <c r="AK258">
        <v>1</v>
      </c>
      <c r="AL258" s="23">
        <f>690/180</f>
        <v>3.8333333333333335</v>
      </c>
    </row>
    <row r="259" spans="1:41">
      <c r="A259" s="15">
        <v>39607</v>
      </c>
      <c r="B259" t="s">
        <v>59</v>
      </c>
      <c r="C259">
        <v>2.16</v>
      </c>
      <c r="D259" t="s">
        <v>138</v>
      </c>
      <c r="E259" t="s">
        <v>115</v>
      </c>
      <c r="F259">
        <v>2005</v>
      </c>
      <c r="G259" t="s">
        <v>15</v>
      </c>
      <c r="H259">
        <v>23</v>
      </c>
      <c r="J259">
        <v>1</v>
      </c>
      <c r="K259">
        <v>3</v>
      </c>
      <c r="L259"/>
      <c r="M259"/>
      <c r="AJ259">
        <f t="shared" si="8"/>
        <v>27</v>
      </c>
      <c r="AK259">
        <v>3</v>
      </c>
      <c r="AL259" s="23">
        <f>43/23</f>
        <v>1.8695652173913044</v>
      </c>
      <c r="AO259" t="s">
        <v>82</v>
      </c>
    </row>
    <row r="260" spans="1:41">
      <c r="A260" s="15">
        <v>38511</v>
      </c>
      <c r="B260" t="s">
        <v>58</v>
      </c>
      <c r="C260">
        <v>2.25</v>
      </c>
      <c r="D260" t="s">
        <v>138</v>
      </c>
      <c r="E260" t="s">
        <v>115</v>
      </c>
      <c r="F260">
        <v>2005</v>
      </c>
      <c r="G260" t="s">
        <v>15</v>
      </c>
      <c r="H260">
        <v>3</v>
      </c>
      <c r="L260"/>
      <c r="M260"/>
      <c r="S260">
        <v>1</v>
      </c>
      <c r="AJ260">
        <f t="shared" si="8"/>
        <v>4</v>
      </c>
      <c r="AK260">
        <v>2</v>
      </c>
      <c r="AL260" s="23">
        <v>1</v>
      </c>
      <c r="AM260">
        <v>0.5</v>
      </c>
      <c r="AO260" t="s">
        <v>83</v>
      </c>
    </row>
    <row r="261" spans="1:41">
      <c r="A261" s="15">
        <v>38512</v>
      </c>
      <c r="B261" t="s">
        <v>59</v>
      </c>
      <c r="C261">
        <v>1.66</v>
      </c>
      <c r="D261" t="s">
        <v>138</v>
      </c>
      <c r="E261" t="s">
        <v>115</v>
      </c>
      <c r="F261">
        <v>2005</v>
      </c>
      <c r="G261" t="s">
        <v>15</v>
      </c>
      <c r="H261">
        <v>89</v>
      </c>
      <c r="J261">
        <v>4</v>
      </c>
      <c r="K261">
        <v>1</v>
      </c>
      <c r="L261"/>
      <c r="M261"/>
      <c r="AJ261">
        <f t="shared" si="8"/>
        <v>94</v>
      </c>
      <c r="AK261">
        <v>3</v>
      </c>
      <c r="AL261" s="23">
        <f>280/89</f>
        <v>3.1460674157303372</v>
      </c>
    </row>
    <row r="262" spans="1:41">
      <c r="A262" s="15">
        <v>38512</v>
      </c>
      <c r="B262" t="s">
        <v>59</v>
      </c>
      <c r="C262">
        <v>2.25</v>
      </c>
      <c r="D262" t="s">
        <v>138</v>
      </c>
      <c r="E262" t="s">
        <v>115</v>
      </c>
      <c r="F262">
        <v>2005</v>
      </c>
      <c r="G262" t="s">
        <v>15</v>
      </c>
      <c r="H262">
        <v>73</v>
      </c>
      <c r="L262"/>
      <c r="M262"/>
      <c r="S262">
        <v>2</v>
      </c>
      <c r="AJ262">
        <f t="shared" si="8"/>
        <v>75</v>
      </c>
      <c r="AK262">
        <v>2</v>
      </c>
      <c r="AL262" s="23">
        <f>200/73</f>
        <v>2.7397260273972601</v>
      </c>
      <c r="AO262" t="s">
        <v>84</v>
      </c>
    </row>
    <row r="263" spans="1:41">
      <c r="A263" s="15">
        <v>38512</v>
      </c>
      <c r="B263" t="s">
        <v>58</v>
      </c>
      <c r="C263">
        <v>2.25</v>
      </c>
      <c r="D263" t="s">
        <v>138</v>
      </c>
      <c r="E263" t="s">
        <v>115</v>
      </c>
      <c r="F263">
        <v>2005</v>
      </c>
      <c r="G263" t="s">
        <v>15</v>
      </c>
      <c r="L263"/>
      <c r="M263"/>
      <c r="AJ263">
        <v>0</v>
      </c>
      <c r="AK263">
        <v>0</v>
      </c>
    </row>
    <row r="264" spans="1:41">
      <c r="A264" s="15">
        <v>38512</v>
      </c>
      <c r="B264" t="s">
        <v>59</v>
      </c>
      <c r="C264">
        <v>1.5</v>
      </c>
      <c r="D264" t="s">
        <v>138</v>
      </c>
      <c r="E264" t="s">
        <v>115</v>
      </c>
      <c r="F264">
        <v>2005</v>
      </c>
      <c r="G264" t="s">
        <v>15</v>
      </c>
      <c r="L264"/>
      <c r="M264"/>
      <c r="AJ264">
        <v>0</v>
      </c>
      <c r="AK264">
        <v>0</v>
      </c>
    </row>
    <row r="265" spans="1:41">
      <c r="A265" s="15">
        <v>38512</v>
      </c>
      <c r="B265" t="s">
        <v>58</v>
      </c>
      <c r="C265">
        <v>1.5</v>
      </c>
      <c r="D265" t="s">
        <v>138</v>
      </c>
      <c r="E265" t="s">
        <v>115</v>
      </c>
      <c r="F265">
        <v>2005</v>
      </c>
      <c r="G265" t="s">
        <v>15</v>
      </c>
      <c r="L265"/>
      <c r="M265"/>
      <c r="AJ265">
        <v>0</v>
      </c>
      <c r="AK265">
        <v>0</v>
      </c>
    </row>
    <row r="266" spans="1:41">
      <c r="A266" s="15">
        <v>38636</v>
      </c>
      <c r="B266" t="s">
        <v>63</v>
      </c>
      <c r="C266">
        <v>20</v>
      </c>
      <c r="D266" t="s">
        <v>55</v>
      </c>
      <c r="E266" t="s">
        <v>131</v>
      </c>
      <c r="F266">
        <v>2005</v>
      </c>
      <c r="G266" t="s">
        <v>16</v>
      </c>
      <c r="H266">
        <v>229</v>
      </c>
      <c r="L266"/>
      <c r="M266"/>
      <c r="AG266">
        <v>1</v>
      </c>
      <c r="AJ266">
        <f>SUM(H266:AI266)</f>
        <v>230</v>
      </c>
      <c r="AK266">
        <v>2</v>
      </c>
      <c r="AL266" s="23">
        <v>1.6</v>
      </c>
    </row>
    <row r="267" spans="1:41">
      <c r="A267" s="15">
        <v>38636</v>
      </c>
      <c r="B267" t="s">
        <v>62</v>
      </c>
      <c r="C267">
        <v>20</v>
      </c>
      <c r="D267" t="s">
        <v>56</v>
      </c>
      <c r="E267" t="s">
        <v>130</v>
      </c>
      <c r="F267">
        <v>2005</v>
      </c>
      <c r="G267" t="s">
        <v>16</v>
      </c>
      <c r="L267"/>
      <c r="M267"/>
      <c r="AJ267">
        <v>0</v>
      </c>
      <c r="AK267">
        <v>0</v>
      </c>
    </row>
    <row r="268" spans="1:41">
      <c r="A268" s="15">
        <v>38636</v>
      </c>
      <c r="B268" t="s">
        <v>59</v>
      </c>
      <c r="C268">
        <v>20</v>
      </c>
      <c r="D268" t="s">
        <v>138</v>
      </c>
      <c r="E268" t="s">
        <v>115</v>
      </c>
      <c r="F268">
        <v>2005</v>
      </c>
      <c r="G268" t="s">
        <v>16</v>
      </c>
      <c r="H268">
        <v>324</v>
      </c>
      <c r="L268"/>
      <c r="M268"/>
      <c r="AJ268">
        <f>SUM(H268:AI268)</f>
        <v>324</v>
      </c>
      <c r="AK268">
        <v>1</v>
      </c>
      <c r="AL268" s="23">
        <v>1.7</v>
      </c>
    </row>
    <row r="269" spans="1:41">
      <c r="A269" s="15">
        <v>38636</v>
      </c>
      <c r="B269" t="s">
        <v>58</v>
      </c>
      <c r="C269">
        <v>20</v>
      </c>
      <c r="D269" t="s">
        <v>138</v>
      </c>
      <c r="E269" t="s">
        <v>115</v>
      </c>
      <c r="F269">
        <v>2005</v>
      </c>
      <c r="G269" t="s">
        <v>16</v>
      </c>
      <c r="H269">
        <v>428</v>
      </c>
      <c r="L269"/>
      <c r="M269"/>
      <c r="AJ269">
        <f>SUM(H269:AI269)</f>
        <v>428</v>
      </c>
      <c r="AK269">
        <v>1</v>
      </c>
      <c r="AL269" s="23">
        <v>1.5</v>
      </c>
    </row>
    <row r="270" spans="1:41">
      <c r="A270" s="15">
        <v>38637</v>
      </c>
      <c r="B270" t="s">
        <v>63</v>
      </c>
      <c r="C270">
        <v>24</v>
      </c>
      <c r="D270" t="s">
        <v>55</v>
      </c>
      <c r="E270" t="s">
        <v>131</v>
      </c>
      <c r="F270">
        <v>2005</v>
      </c>
      <c r="G270" t="s">
        <v>16</v>
      </c>
      <c r="H270">
        <v>12</v>
      </c>
      <c r="L270"/>
      <c r="M270"/>
      <c r="AJ270">
        <v>102</v>
      </c>
      <c r="AK270">
        <v>1</v>
      </c>
      <c r="AL270" s="23">
        <v>1.6</v>
      </c>
    </row>
    <row r="271" spans="1:41">
      <c r="A271" s="15">
        <v>38637</v>
      </c>
      <c r="B271" t="s">
        <v>62</v>
      </c>
      <c r="C271">
        <v>24</v>
      </c>
      <c r="D271" t="s">
        <v>56</v>
      </c>
      <c r="E271" t="s">
        <v>130</v>
      </c>
      <c r="F271">
        <v>2005</v>
      </c>
      <c r="G271" t="s">
        <v>16</v>
      </c>
      <c r="L271"/>
      <c r="M271"/>
      <c r="AJ271">
        <v>0</v>
      </c>
      <c r="AK271">
        <v>0</v>
      </c>
    </row>
    <row r="272" spans="1:41">
      <c r="A272" s="15">
        <v>38637</v>
      </c>
      <c r="B272" t="s">
        <v>59</v>
      </c>
      <c r="C272">
        <v>24</v>
      </c>
      <c r="D272" t="s">
        <v>138</v>
      </c>
      <c r="E272" t="s">
        <v>115</v>
      </c>
      <c r="F272">
        <v>2005</v>
      </c>
      <c r="G272" t="s">
        <v>16</v>
      </c>
      <c r="H272">
        <v>195</v>
      </c>
      <c r="L272"/>
      <c r="M272"/>
      <c r="AJ272">
        <v>195</v>
      </c>
      <c r="AK272">
        <v>1</v>
      </c>
      <c r="AL272" s="23">
        <v>2.17</v>
      </c>
    </row>
    <row r="273" spans="1:38">
      <c r="A273" s="15">
        <v>38637</v>
      </c>
      <c r="B273" t="s">
        <v>58</v>
      </c>
      <c r="C273">
        <v>24</v>
      </c>
      <c r="D273" t="s">
        <v>138</v>
      </c>
      <c r="E273" t="s">
        <v>115</v>
      </c>
      <c r="F273">
        <v>2005</v>
      </c>
      <c r="G273" t="s">
        <v>16</v>
      </c>
      <c r="H273">
        <v>438</v>
      </c>
      <c r="L273"/>
      <c r="M273"/>
      <c r="AJ273">
        <v>438</v>
      </c>
      <c r="AK273">
        <v>1</v>
      </c>
      <c r="AL273" s="23">
        <v>0.9</v>
      </c>
    </row>
    <row r="274" spans="1:38">
      <c r="A274" s="15">
        <v>38638</v>
      </c>
      <c r="B274" t="s">
        <v>63</v>
      </c>
      <c r="C274">
        <v>23.5</v>
      </c>
      <c r="D274" t="s">
        <v>55</v>
      </c>
      <c r="E274" t="s">
        <v>131</v>
      </c>
      <c r="F274">
        <v>2005</v>
      </c>
      <c r="G274" t="s">
        <v>16</v>
      </c>
      <c r="H274">
        <v>12</v>
      </c>
      <c r="L274"/>
      <c r="M274"/>
      <c r="R274">
        <v>2</v>
      </c>
      <c r="AJ274">
        <v>14</v>
      </c>
      <c r="AK274">
        <v>2</v>
      </c>
      <c r="AL274" s="23">
        <v>2.1</v>
      </c>
    </row>
    <row r="275" spans="1:38">
      <c r="A275" s="15">
        <v>38638</v>
      </c>
      <c r="B275" t="s">
        <v>62</v>
      </c>
      <c r="C275">
        <v>23.5</v>
      </c>
      <c r="D275" t="s">
        <v>56</v>
      </c>
      <c r="E275" t="s">
        <v>130</v>
      </c>
      <c r="F275">
        <v>2005</v>
      </c>
      <c r="G275" t="s">
        <v>16</v>
      </c>
      <c r="H275">
        <v>81</v>
      </c>
      <c r="L275"/>
      <c r="M275"/>
      <c r="R275">
        <v>2</v>
      </c>
      <c r="AJ275">
        <v>83</v>
      </c>
      <c r="AK275">
        <v>2</v>
      </c>
      <c r="AL275" s="23">
        <v>1.5</v>
      </c>
    </row>
    <row r="276" spans="1:38">
      <c r="A276" s="15">
        <v>38638</v>
      </c>
      <c r="B276" t="s">
        <v>59</v>
      </c>
      <c r="C276">
        <v>23.5</v>
      </c>
      <c r="D276" t="s">
        <v>138</v>
      </c>
      <c r="E276" t="s">
        <v>115</v>
      </c>
      <c r="F276">
        <v>2005</v>
      </c>
      <c r="G276" t="s">
        <v>16</v>
      </c>
      <c r="H276">
        <v>34</v>
      </c>
      <c r="L276"/>
      <c r="M276"/>
      <c r="AJ276">
        <v>34</v>
      </c>
      <c r="AK276">
        <v>1</v>
      </c>
      <c r="AL276" s="23">
        <v>1.8</v>
      </c>
    </row>
    <row r="277" spans="1:38">
      <c r="A277" s="15">
        <v>38638</v>
      </c>
      <c r="B277" t="s">
        <v>58</v>
      </c>
      <c r="C277">
        <v>23.5</v>
      </c>
      <c r="D277" t="s">
        <v>138</v>
      </c>
      <c r="E277" t="s">
        <v>115</v>
      </c>
      <c r="F277">
        <v>2005</v>
      </c>
      <c r="G277" t="s">
        <v>16</v>
      </c>
      <c r="H277">
        <v>26</v>
      </c>
      <c r="L277"/>
      <c r="M277"/>
      <c r="AJ277">
        <v>260</v>
      </c>
      <c r="AK277">
        <v>1</v>
      </c>
      <c r="AL277" s="23">
        <v>1.7</v>
      </c>
    </row>
    <row r="278" spans="1:38">
      <c r="A278" s="15">
        <v>38643</v>
      </c>
      <c r="B278" t="s">
        <v>63</v>
      </c>
      <c r="C278">
        <v>18</v>
      </c>
      <c r="D278" t="s">
        <v>55</v>
      </c>
      <c r="E278" t="s">
        <v>131</v>
      </c>
      <c r="F278">
        <v>2005</v>
      </c>
      <c r="G278" t="s">
        <v>16</v>
      </c>
      <c r="H278">
        <v>71</v>
      </c>
      <c r="L278"/>
      <c r="M278"/>
      <c r="AJ278">
        <v>71</v>
      </c>
      <c r="AK278">
        <v>1</v>
      </c>
      <c r="AL278" s="23">
        <v>2</v>
      </c>
    </row>
    <row r="279" spans="1:38">
      <c r="A279" s="15">
        <v>38643</v>
      </c>
      <c r="B279" t="s">
        <v>62</v>
      </c>
      <c r="C279">
        <v>18</v>
      </c>
      <c r="D279" t="s">
        <v>56</v>
      </c>
      <c r="E279" t="s">
        <v>130</v>
      </c>
      <c r="F279">
        <v>2005</v>
      </c>
      <c r="G279" t="s">
        <v>16</v>
      </c>
      <c r="H279">
        <v>43</v>
      </c>
      <c r="L279"/>
      <c r="M279"/>
      <c r="AJ279">
        <v>43</v>
      </c>
      <c r="AK279">
        <v>1</v>
      </c>
      <c r="AL279" s="23">
        <v>2.2999999999999998</v>
      </c>
    </row>
    <row r="280" spans="1:38">
      <c r="A280" s="15">
        <v>38643</v>
      </c>
      <c r="B280" t="s">
        <v>59</v>
      </c>
      <c r="C280">
        <v>18</v>
      </c>
      <c r="D280" t="s">
        <v>138</v>
      </c>
      <c r="E280" t="s">
        <v>115</v>
      </c>
      <c r="F280">
        <v>2005</v>
      </c>
      <c r="G280" t="s">
        <v>16</v>
      </c>
      <c r="H280">
        <v>186</v>
      </c>
      <c r="L280"/>
      <c r="M280"/>
      <c r="AJ280">
        <v>186</v>
      </c>
      <c r="AK280">
        <v>1</v>
      </c>
    </row>
    <row r="281" spans="1:38">
      <c r="A281" s="15">
        <v>38643</v>
      </c>
      <c r="B281" t="s">
        <v>58</v>
      </c>
      <c r="C281">
        <v>18</v>
      </c>
      <c r="D281" t="s">
        <v>138</v>
      </c>
      <c r="E281" t="s">
        <v>115</v>
      </c>
      <c r="F281">
        <v>2005</v>
      </c>
      <c r="G281" t="s">
        <v>16</v>
      </c>
      <c r="H281">
        <v>297</v>
      </c>
      <c r="L281"/>
      <c r="M281"/>
      <c r="AJ281">
        <v>297</v>
      </c>
      <c r="AK281">
        <v>1</v>
      </c>
      <c r="AL281" s="23">
        <v>2.7</v>
      </c>
    </row>
    <row r="282" spans="1:38">
      <c r="A282" s="15">
        <v>38644</v>
      </c>
      <c r="B282" t="s">
        <v>63</v>
      </c>
      <c r="C282">
        <v>24</v>
      </c>
      <c r="D282" t="s">
        <v>55</v>
      </c>
      <c r="E282" t="s">
        <v>131</v>
      </c>
      <c r="F282">
        <v>2005</v>
      </c>
      <c r="G282" t="s">
        <v>16</v>
      </c>
      <c r="H282">
        <v>116</v>
      </c>
      <c r="L282"/>
      <c r="M282"/>
      <c r="AJ282">
        <v>116</v>
      </c>
      <c r="AK282">
        <v>1</v>
      </c>
      <c r="AL282" s="23">
        <v>2.2000000000000002</v>
      </c>
    </row>
    <row r="283" spans="1:38">
      <c r="A283" s="15">
        <v>38644</v>
      </c>
      <c r="B283" t="s">
        <v>62</v>
      </c>
      <c r="C283">
        <v>24</v>
      </c>
      <c r="D283" t="s">
        <v>56</v>
      </c>
      <c r="E283" t="s">
        <v>130</v>
      </c>
      <c r="F283">
        <v>2005</v>
      </c>
      <c r="G283" t="s">
        <v>16</v>
      </c>
      <c r="H283">
        <v>15</v>
      </c>
      <c r="L283"/>
      <c r="M283"/>
      <c r="AJ283">
        <v>105</v>
      </c>
      <c r="AK283">
        <v>1</v>
      </c>
      <c r="AL283" s="23">
        <v>1.9</v>
      </c>
    </row>
    <row r="284" spans="1:38">
      <c r="A284" s="15">
        <v>38644</v>
      </c>
      <c r="B284" t="s">
        <v>59</v>
      </c>
      <c r="C284">
        <v>24</v>
      </c>
      <c r="D284" t="s">
        <v>138</v>
      </c>
      <c r="E284" t="s">
        <v>115</v>
      </c>
      <c r="F284">
        <v>2005</v>
      </c>
      <c r="G284" t="s">
        <v>16</v>
      </c>
      <c r="H284">
        <v>25</v>
      </c>
      <c r="L284"/>
      <c r="M284"/>
      <c r="AJ284">
        <v>250</v>
      </c>
      <c r="AK284">
        <v>1</v>
      </c>
      <c r="AL284" s="23">
        <v>2.5</v>
      </c>
    </row>
    <row r="285" spans="1:38">
      <c r="A285" s="15">
        <v>38644</v>
      </c>
      <c r="B285" t="s">
        <v>58</v>
      </c>
      <c r="C285">
        <v>24</v>
      </c>
      <c r="D285" t="s">
        <v>138</v>
      </c>
      <c r="E285" t="s">
        <v>115</v>
      </c>
      <c r="F285">
        <v>2005</v>
      </c>
      <c r="G285" t="s">
        <v>16</v>
      </c>
      <c r="H285">
        <v>271</v>
      </c>
      <c r="L285"/>
      <c r="M285"/>
      <c r="AJ285">
        <v>271</v>
      </c>
      <c r="AK285">
        <v>1</v>
      </c>
      <c r="AL285" s="23">
        <v>2.4</v>
      </c>
    </row>
    <row r="286" spans="1:38">
      <c r="A286" s="15">
        <v>38960</v>
      </c>
      <c r="B286" t="s">
        <v>3</v>
      </c>
      <c r="C286">
        <v>2.5</v>
      </c>
      <c r="D286" t="s">
        <v>57</v>
      </c>
      <c r="E286" t="s">
        <v>115</v>
      </c>
      <c r="F286">
        <v>2006</v>
      </c>
      <c r="G286" t="s">
        <v>108</v>
      </c>
      <c r="L286"/>
      <c r="M286"/>
      <c r="AJ286">
        <v>0</v>
      </c>
    </row>
    <row r="287" spans="1:38">
      <c r="A287" s="15">
        <v>38992</v>
      </c>
      <c r="B287" t="s">
        <v>63</v>
      </c>
      <c r="C287">
        <v>18</v>
      </c>
      <c r="D287" t="s">
        <v>55</v>
      </c>
      <c r="E287" t="s">
        <v>131</v>
      </c>
      <c r="F287">
        <v>2006</v>
      </c>
      <c r="G287" t="s">
        <v>16</v>
      </c>
      <c r="H287">
        <v>72</v>
      </c>
      <c r="L287"/>
      <c r="M287"/>
      <c r="AJ287">
        <f>SUM(H287:AI287)</f>
        <v>72</v>
      </c>
      <c r="AL287" s="23">
        <f>185/72</f>
        <v>2.5694444444444446</v>
      </c>
    </row>
    <row r="288" spans="1:38">
      <c r="A288" s="15">
        <v>38992</v>
      </c>
      <c r="B288" t="s">
        <v>109</v>
      </c>
      <c r="C288">
        <v>18</v>
      </c>
      <c r="D288" t="s">
        <v>138</v>
      </c>
      <c r="E288" t="s">
        <v>115</v>
      </c>
      <c r="F288">
        <v>2006</v>
      </c>
      <c r="G288" t="s">
        <v>16</v>
      </c>
      <c r="H288">
        <v>172</v>
      </c>
      <c r="L288"/>
      <c r="M288"/>
      <c r="AJ288">
        <f t="shared" ref="AJ288:AJ331" si="9">SUM(H288:AI288)</f>
        <v>172</v>
      </c>
      <c r="AL288" s="23">
        <f>355/172</f>
        <v>2.0639534883720931</v>
      </c>
    </row>
    <row r="289" spans="1:38">
      <c r="A289" s="15">
        <v>38992</v>
      </c>
      <c r="B289" t="s">
        <v>59</v>
      </c>
      <c r="C289">
        <v>18</v>
      </c>
      <c r="D289" t="s">
        <v>138</v>
      </c>
      <c r="E289" t="s">
        <v>115</v>
      </c>
      <c r="F289">
        <v>2006</v>
      </c>
      <c r="G289" t="s">
        <v>16</v>
      </c>
      <c r="K289">
        <v>1</v>
      </c>
      <c r="L289"/>
      <c r="M289"/>
      <c r="AJ289">
        <f t="shared" si="9"/>
        <v>1</v>
      </c>
      <c r="AL289" s="23">
        <v>1</v>
      </c>
    </row>
    <row r="290" spans="1:38">
      <c r="A290" s="15">
        <v>38992</v>
      </c>
      <c r="B290" t="s">
        <v>3</v>
      </c>
      <c r="C290">
        <v>18</v>
      </c>
      <c r="D290" t="s">
        <v>57</v>
      </c>
      <c r="E290" t="s">
        <v>115</v>
      </c>
      <c r="F290">
        <v>2006</v>
      </c>
      <c r="G290" t="s">
        <v>16</v>
      </c>
      <c r="H290">
        <v>307</v>
      </c>
      <c r="L290"/>
      <c r="M290"/>
      <c r="AJ290">
        <f t="shared" si="9"/>
        <v>307</v>
      </c>
      <c r="AL290" s="23">
        <f>750/307</f>
        <v>2.44299674267101</v>
      </c>
    </row>
    <row r="291" spans="1:38">
      <c r="A291" s="15">
        <v>39000</v>
      </c>
      <c r="B291" t="s">
        <v>63</v>
      </c>
      <c r="C291">
        <v>23</v>
      </c>
      <c r="D291" t="s">
        <v>55</v>
      </c>
      <c r="E291" t="s">
        <v>131</v>
      </c>
      <c r="F291">
        <v>2006</v>
      </c>
      <c r="G291" t="s">
        <v>16</v>
      </c>
      <c r="H291">
        <v>39</v>
      </c>
      <c r="L291"/>
      <c r="M291"/>
      <c r="AG291">
        <v>1</v>
      </c>
      <c r="AJ291">
        <f t="shared" si="9"/>
        <v>40</v>
      </c>
      <c r="AL291" s="60">
        <f>105/36</f>
        <v>2.9166666666666665</v>
      </c>
    </row>
    <row r="292" spans="1:38">
      <c r="A292" s="15">
        <v>39000</v>
      </c>
      <c r="B292" t="s">
        <v>109</v>
      </c>
      <c r="C292">
        <v>23</v>
      </c>
      <c r="D292" t="s">
        <v>138</v>
      </c>
      <c r="E292" t="s">
        <v>115</v>
      </c>
      <c r="F292">
        <v>2006</v>
      </c>
      <c r="G292" t="s">
        <v>16</v>
      </c>
      <c r="H292">
        <v>44</v>
      </c>
      <c r="L292"/>
      <c r="M292"/>
      <c r="AJ292">
        <f t="shared" si="9"/>
        <v>44</v>
      </c>
      <c r="AL292" s="23">
        <f>145/44</f>
        <v>3.2954545454545454</v>
      </c>
    </row>
    <row r="293" spans="1:38">
      <c r="A293" s="15">
        <v>39000</v>
      </c>
      <c r="B293" t="s">
        <v>59</v>
      </c>
      <c r="C293">
        <v>2</v>
      </c>
      <c r="D293" t="s">
        <v>138</v>
      </c>
      <c r="E293" t="s">
        <v>115</v>
      </c>
      <c r="F293">
        <v>2006</v>
      </c>
      <c r="G293" t="s">
        <v>16</v>
      </c>
      <c r="H293">
        <v>306</v>
      </c>
      <c r="L293"/>
      <c r="M293"/>
      <c r="AJ293">
        <f t="shared" si="9"/>
        <v>306</v>
      </c>
      <c r="AL293" s="23">
        <f>610/306</f>
        <v>1.9934640522875817</v>
      </c>
    </row>
    <row r="294" spans="1:38">
      <c r="A294" s="15">
        <v>39000</v>
      </c>
      <c r="B294" t="s">
        <v>3</v>
      </c>
      <c r="C294">
        <v>23</v>
      </c>
      <c r="D294" t="s">
        <v>57</v>
      </c>
      <c r="E294" t="s">
        <v>115</v>
      </c>
      <c r="F294">
        <v>2006</v>
      </c>
      <c r="G294" t="s">
        <v>16</v>
      </c>
      <c r="H294">
        <v>278</v>
      </c>
      <c r="L294"/>
      <c r="M294"/>
      <c r="AJ294">
        <f t="shared" si="9"/>
        <v>278</v>
      </c>
      <c r="AL294" s="23">
        <f>795/278</f>
        <v>2.8597122302158273</v>
      </c>
    </row>
    <row r="295" spans="1:38">
      <c r="A295" s="15">
        <v>39001</v>
      </c>
      <c r="B295" t="s">
        <v>63</v>
      </c>
      <c r="C295">
        <v>24</v>
      </c>
      <c r="D295" t="s">
        <v>55</v>
      </c>
      <c r="E295" t="s">
        <v>131</v>
      </c>
      <c r="F295">
        <v>2006</v>
      </c>
      <c r="G295" t="s">
        <v>16</v>
      </c>
      <c r="H295">
        <v>73</v>
      </c>
      <c r="L295"/>
      <c r="M295"/>
      <c r="AF295">
        <v>1</v>
      </c>
      <c r="AJ295">
        <f t="shared" si="9"/>
        <v>74</v>
      </c>
      <c r="AL295" s="23">
        <f>140/73</f>
        <v>1.9178082191780821</v>
      </c>
    </row>
    <row r="296" spans="1:38">
      <c r="A296" s="15">
        <v>39001</v>
      </c>
      <c r="B296" t="s">
        <v>109</v>
      </c>
      <c r="C296">
        <v>24</v>
      </c>
      <c r="D296" t="s">
        <v>138</v>
      </c>
      <c r="E296" t="s">
        <v>115</v>
      </c>
      <c r="F296">
        <v>2006</v>
      </c>
      <c r="G296" t="s">
        <v>16</v>
      </c>
      <c r="H296">
        <v>46</v>
      </c>
      <c r="L296"/>
      <c r="M296"/>
      <c r="AJ296">
        <f t="shared" si="9"/>
        <v>46</v>
      </c>
      <c r="AL296" s="23">
        <f>175/46</f>
        <v>3.8043478260869565</v>
      </c>
    </row>
    <row r="297" spans="1:38">
      <c r="A297" s="15">
        <v>39001</v>
      </c>
      <c r="B297" t="s">
        <v>59</v>
      </c>
      <c r="C297">
        <v>22</v>
      </c>
      <c r="D297" t="s">
        <v>138</v>
      </c>
      <c r="E297" t="s">
        <v>115</v>
      </c>
      <c r="F297">
        <v>2006</v>
      </c>
      <c r="G297" t="s">
        <v>16</v>
      </c>
      <c r="H297">
        <v>328</v>
      </c>
      <c r="L297"/>
      <c r="M297"/>
      <c r="AJ297">
        <f t="shared" si="9"/>
        <v>328</v>
      </c>
      <c r="AL297" s="23">
        <f>680/328</f>
        <v>2.0731707317073171</v>
      </c>
    </row>
    <row r="298" spans="1:38">
      <c r="A298" s="15">
        <v>39001</v>
      </c>
      <c r="B298" t="s">
        <v>3</v>
      </c>
      <c r="C298">
        <v>24</v>
      </c>
      <c r="D298" t="s">
        <v>57</v>
      </c>
      <c r="E298" t="s">
        <v>115</v>
      </c>
      <c r="F298">
        <v>2006</v>
      </c>
      <c r="G298" t="s">
        <v>16</v>
      </c>
      <c r="H298">
        <v>339</v>
      </c>
      <c r="L298"/>
      <c r="M298"/>
      <c r="AJ298">
        <f t="shared" si="9"/>
        <v>339</v>
      </c>
      <c r="AL298" s="23">
        <f>850/339</f>
        <v>2.5073746312684366</v>
      </c>
    </row>
    <row r="299" spans="1:38">
      <c r="A299" s="15">
        <v>39003</v>
      </c>
      <c r="B299" t="s">
        <v>61</v>
      </c>
      <c r="C299">
        <v>22</v>
      </c>
      <c r="D299" t="s">
        <v>55</v>
      </c>
      <c r="E299" t="s">
        <v>131</v>
      </c>
      <c r="F299">
        <v>2006</v>
      </c>
      <c r="G299" t="s">
        <v>16</v>
      </c>
      <c r="H299">
        <v>404</v>
      </c>
      <c r="L299"/>
      <c r="M299"/>
      <c r="Y299">
        <v>2</v>
      </c>
      <c r="AJ299">
        <f t="shared" si="9"/>
        <v>406</v>
      </c>
      <c r="AL299" s="23">
        <f>1182/404</f>
        <v>2.9257425742574257</v>
      </c>
    </row>
    <row r="300" spans="1:38">
      <c r="A300" s="15">
        <v>39003</v>
      </c>
      <c r="B300" t="s">
        <v>109</v>
      </c>
      <c r="C300">
        <v>22</v>
      </c>
      <c r="D300" t="s">
        <v>138</v>
      </c>
      <c r="E300" t="s">
        <v>115</v>
      </c>
      <c r="F300">
        <v>2006</v>
      </c>
      <c r="G300" t="s">
        <v>16</v>
      </c>
      <c r="H300">
        <v>34</v>
      </c>
      <c r="L300"/>
      <c r="M300"/>
      <c r="AJ300">
        <f t="shared" si="9"/>
        <v>34</v>
      </c>
      <c r="AL300" s="23">
        <f>100/34</f>
        <v>2.9411764705882355</v>
      </c>
    </row>
    <row r="301" spans="1:38">
      <c r="A301" s="15">
        <v>39003</v>
      </c>
      <c r="B301" t="s">
        <v>59</v>
      </c>
      <c r="C301">
        <v>22</v>
      </c>
      <c r="D301" t="s">
        <v>138</v>
      </c>
      <c r="E301" t="s">
        <v>115</v>
      </c>
      <c r="F301">
        <v>2006</v>
      </c>
      <c r="G301" t="s">
        <v>16</v>
      </c>
      <c r="L301"/>
      <c r="M301"/>
      <c r="AJ301">
        <f t="shared" si="9"/>
        <v>0</v>
      </c>
    </row>
    <row r="302" spans="1:38">
      <c r="A302" s="15">
        <v>39003</v>
      </c>
      <c r="B302" t="s">
        <v>3</v>
      </c>
      <c r="C302">
        <v>22</v>
      </c>
      <c r="D302" t="s">
        <v>57</v>
      </c>
      <c r="E302" t="s">
        <v>115</v>
      </c>
      <c r="F302">
        <v>2006</v>
      </c>
      <c r="G302" t="s">
        <v>16</v>
      </c>
      <c r="H302">
        <v>209</v>
      </c>
      <c r="L302"/>
      <c r="M302"/>
      <c r="AJ302">
        <f t="shared" si="9"/>
        <v>209</v>
      </c>
      <c r="AL302" s="23">
        <f>600/209</f>
        <v>2.8708133971291865</v>
      </c>
    </row>
    <row r="303" spans="1:38">
      <c r="A303" s="15">
        <v>39357</v>
      </c>
      <c r="B303" t="s">
        <v>60</v>
      </c>
      <c r="C303">
        <v>24</v>
      </c>
      <c r="D303" t="s">
        <v>55</v>
      </c>
      <c r="E303" t="s">
        <v>131</v>
      </c>
      <c r="F303">
        <v>2007</v>
      </c>
      <c r="G303" t="s">
        <v>16</v>
      </c>
      <c r="H303">
        <v>97</v>
      </c>
      <c r="L303"/>
      <c r="M303"/>
      <c r="V303">
        <v>1</v>
      </c>
      <c r="AJ303">
        <f t="shared" si="9"/>
        <v>98</v>
      </c>
      <c r="AK303">
        <v>2</v>
      </c>
      <c r="AL303" s="23">
        <f>250/97</f>
        <v>2.5773195876288661</v>
      </c>
    </row>
    <row r="304" spans="1:38">
      <c r="A304" s="15">
        <v>39357</v>
      </c>
      <c r="B304" t="s">
        <v>62</v>
      </c>
      <c r="C304">
        <v>24</v>
      </c>
      <c r="D304" t="s">
        <v>56</v>
      </c>
      <c r="E304" t="s">
        <v>130</v>
      </c>
      <c r="F304">
        <v>2007</v>
      </c>
      <c r="G304" t="s">
        <v>16</v>
      </c>
      <c r="H304">
        <v>1</v>
      </c>
      <c r="L304"/>
      <c r="M304"/>
      <c r="AJ304">
        <f t="shared" si="9"/>
        <v>1</v>
      </c>
      <c r="AK304">
        <v>1</v>
      </c>
      <c r="AL304" s="23">
        <v>2.5</v>
      </c>
    </row>
    <row r="305" spans="1:38">
      <c r="A305" s="15">
        <v>39357</v>
      </c>
      <c r="B305" t="s">
        <v>59</v>
      </c>
      <c r="C305">
        <v>24</v>
      </c>
      <c r="D305" t="s">
        <v>138</v>
      </c>
      <c r="E305" t="s">
        <v>122</v>
      </c>
      <c r="F305">
        <v>2007</v>
      </c>
      <c r="G305" t="s">
        <v>16</v>
      </c>
      <c r="H305">
        <v>112</v>
      </c>
      <c r="L305"/>
      <c r="M305"/>
      <c r="AJ305">
        <f t="shared" si="9"/>
        <v>112</v>
      </c>
      <c r="AK305">
        <v>1</v>
      </c>
      <c r="AL305" s="23">
        <f>275/112</f>
        <v>2.4553571428571428</v>
      </c>
    </row>
    <row r="306" spans="1:38">
      <c r="A306" s="15">
        <v>39357</v>
      </c>
      <c r="B306" t="s">
        <v>58</v>
      </c>
      <c r="C306">
        <v>24</v>
      </c>
      <c r="D306" t="s">
        <v>138</v>
      </c>
      <c r="E306" t="s">
        <v>122</v>
      </c>
      <c r="F306">
        <v>2007</v>
      </c>
      <c r="G306" t="s">
        <v>16</v>
      </c>
      <c r="H306">
        <v>133</v>
      </c>
      <c r="L306"/>
      <c r="M306"/>
      <c r="Y306">
        <v>1</v>
      </c>
      <c r="AJ306">
        <f t="shared" si="9"/>
        <v>134</v>
      </c>
      <c r="AK306">
        <v>2</v>
      </c>
      <c r="AL306" s="23">
        <f>420/133</f>
        <v>3.1578947368421053</v>
      </c>
    </row>
    <row r="307" spans="1:38">
      <c r="A307" s="15">
        <v>39358</v>
      </c>
      <c r="B307" t="s">
        <v>60</v>
      </c>
      <c r="C307">
        <v>24</v>
      </c>
      <c r="D307" t="s">
        <v>55</v>
      </c>
      <c r="E307" t="s">
        <v>131</v>
      </c>
      <c r="F307">
        <v>2007</v>
      </c>
      <c r="G307" t="s">
        <v>16</v>
      </c>
      <c r="H307">
        <v>96</v>
      </c>
      <c r="L307"/>
      <c r="M307"/>
      <c r="AJ307">
        <f t="shared" si="9"/>
        <v>96</v>
      </c>
      <c r="AK307">
        <v>1</v>
      </c>
      <c r="AL307" s="23">
        <f>205/96</f>
        <v>2.1354166666666665</v>
      </c>
    </row>
    <row r="308" spans="1:38">
      <c r="A308" s="15">
        <v>39358</v>
      </c>
      <c r="B308" t="s">
        <v>62</v>
      </c>
      <c r="C308">
        <v>24</v>
      </c>
      <c r="D308" t="s">
        <v>56</v>
      </c>
      <c r="E308" t="s">
        <v>130</v>
      </c>
      <c r="F308">
        <v>2007</v>
      </c>
      <c r="G308" t="s">
        <v>16</v>
      </c>
      <c r="L308"/>
      <c r="M308"/>
      <c r="AJ308">
        <f t="shared" si="9"/>
        <v>0</v>
      </c>
      <c r="AK308">
        <v>0</v>
      </c>
    </row>
    <row r="309" spans="1:38">
      <c r="A309" s="15">
        <v>39358</v>
      </c>
      <c r="B309" t="s">
        <v>59</v>
      </c>
      <c r="C309">
        <v>24</v>
      </c>
      <c r="D309" t="s">
        <v>138</v>
      </c>
      <c r="E309" t="s">
        <v>122</v>
      </c>
      <c r="F309">
        <v>2007</v>
      </c>
      <c r="G309" t="s">
        <v>16</v>
      </c>
      <c r="H309">
        <v>88</v>
      </c>
      <c r="L309"/>
      <c r="M309"/>
      <c r="AJ309">
        <f t="shared" si="9"/>
        <v>88</v>
      </c>
      <c r="AK309">
        <v>1</v>
      </c>
      <c r="AL309" s="23">
        <f>145/88</f>
        <v>1.6477272727272727</v>
      </c>
    </row>
    <row r="310" spans="1:38">
      <c r="A310" s="15">
        <v>39358</v>
      </c>
      <c r="B310" t="s">
        <v>58</v>
      </c>
      <c r="C310">
        <v>24</v>
      </c>
      <c r="D310" t="s">
        <v>138</v>
      </c>
      <c r="E310" t="s">
        <v>122</v>
      </c>
      <c r="F310">
        <v>2007</v>
      </c>
      <c r="G310" t="s">
        <v>16</v>
      </c>
      <c r="H310">
        <v>172</v>
      </c>
      <c r="L310"/>
      <c r="M310"/>
      <c r="AJ310">
        <f t="shared" si="9"/>
        <v>172</v>
      </c>
      <c r="AK310">
        <v>1</v>
      </c>
      <c r="AL310" s="23">
        <f>300/172</f>
        <v>1.7441860465116279</v>
      </c>
    </row>
    <row r="311" spans="1:38">
      <c r="A311" s="15">
        <v>39360</v>
      </c>
      <c r="B311" t="s">
        <v>61</v>
      </c>
      <c r="C311">
        <v>24</v>
      </c>
      <c r="D311" t="s">
        <v>55</v>
      </c>
      <c r="E311" t="s">
        <v>122</v>
      </c>
      <c r="F311">
        <v>2007</v>
      </c>
      <c r="G311" t="s">
        <v>16</v>
      </c>
      <c r="H311">
        <v>70</v>
      </c>
      <c r="L311"/>
      <c r="M311"/>
      <c r="S311">
        <v>1</v>
      </c>
      <c r="Y311">
        <v>2</v>
      </c>
      <c r="AJ311">
        <f t="shared" si="9"/>
        <v>73</v>
      </c>
      <c r="AK311">
        <v>3</v>
      </c>
      <c r="AL311" s="23">
        <f>190/70</f>
        <v>2.7142857142857144</v>
      </c>
    </row>
    <row r="312" spans="1:38">
      <c r="A312" s="15">
        <v>39360</v>
      </c>
      <c r="B312" t="s">
        <v>62</v>
      </c>
      <c r="C312">
        <v>24</v>
      </c>
      <c r="D312" t="s">
        <v>56</v>
      </c>
      <c r="E312" t="s">
        <v>130</v>
      </c>
      <c r="F312">
        <v>2007</v>
      </c>
      <c r="G312" t="s">
        <v>16</v>
      </c>
      <c r="L312"/>
      <c r="M312"/>
      <c r="AJ312">
        <f t="shared" si="9"/>
        <v>0</v>
      </c>
      <c r="AK312">
        <v>0</v>
      </c>
    </row>
    <row r="313" spans="1:38">
      <c r="A313" s="15">
        <v>39360</v>
      </c>
      <c r="B313" t="s">
        <v>59</v>
      </c>
      <c r="C313">
        <v>24</v>
      </c>
      <c r="D313" t="s">
        <v>138</v>
      </c>
      <c r="E313" t="s">
        <v>122</v>
      </c>
      <c r="F313">
        <v>2007</v>
      </c>
      <c r="G313" t="s">
        <v>16</v>
      </c>
      <c r="L313"/>
      <c r="M313"/>
      <c r="AJ313">
        <f t="shared" si="9"/>
        <v>0</v>
      </c>
      <c r="AK313">
        <v>0</v>
      </c>
    </row>
    <row r="314" spans="1:38">
      <c r="A314" s="15">
        <v>39360</v>
      </c>
      <c r="B314" t="s">
        <v>58</v>
      </c>
      <c r="C314">
        <v>24</v>
      </c>
      <c r="D314" t="s">
        <v>138</v>
      </c>
      <c r="E314" t="s">
        <v>122</v>
      </c>
      <c r="F314">
        <v>2007</v>
      </c>
      <c r="G314" t="s">
        <v>16</v>
      </c>
      <c r="H314">
        <v>8</v>
      </c>
      <c r="L314"/>
      <c r="M314"/>
      <c r="Y314">
        <v>1</v>
      </c>
      <c r="AJ314">
        <f t="shared" si="9"/>
        <v>9</v>
      </c>
      <c r="AK314">
        <v>2</v>
      </c>
      <c r="AL314" s="23">
        <f>15/8</f>
        <v>1.875</v>
      </c>
    </row>
    <row r="315" spans="1:38">
      <c r="A315" s="15">
        <v>39727</v>
      </c>
      <c r="B315" t="s">
        <v>61</v>
      </c>
      <c r="C315">
        <v>21</v>
      </c>
      <c r="D315" t="s">
        <v>55</v>
      </c>
      <c r="E315" t="s">
        <v>131</v>
      </c>
      <c r="F315">
        <v>2008</v>
      </c>
      <c r="G315" t="s">
        <v>16</v>
      </c>
      <c r="H315">
        <v>116</v>
      </c>
      <c r="L315"/>
      <c r="M315"/>
      <c r="AJ315">
        <f t="shared" si="9"/>
        <v>116</v>
      </c>
      <c r="AK315">
        <v>1</v>
      </c>
      <c r="AL315" s="23">
        <f>180/116</f>
        <v>1.5517241379310345</v>
      </c>
    </row>
    <row r="316" spans="1:38">
      <c r="A316" s="15">
        <v>39727</v>
      </c>
      <c r="B316" t="s">
        <v>62</v>
      </c>
      <c r="C316">
        <v>21</v>
      </c>
      <c r="D316" t="s">
        <v>56</v>
      </c>
      <c r="E316" t="s">
        <v>130</v>
      </c>
      <c r="F316">
        <v>2008</v>
      </c>
      <c r="G316" t="s">
        <v>16</v>
      </c>
      <c r="L316"/>
      <c r="M316"/>
      <c r="AJ316">
        <f t="shared" si="9"/>
        <v>0</v>
      </c>
      <c r="AK316">
        <v>0</v>
      </c>
    </row>
    <row r="317" spans="1:38">
      <c r="A317" s="15">
        <v>39727</v>
      </c>
      <c r="B317" t="s">
        <v>59</v>
      </c>
      <c r="C317">
        <v>21</v>
      </c>
      <c r="D317" t="s">
        <v>138</v>
      </c>
      <c r="E317" t="s">
        <v>123</v>
      </c>
      <c r="F317">
        <v>2008</v>
      </c>
      <c r="G317" t="s">
        <v>16</v>
      </c>
      <c r="L317"/>
      <c r="M317"/>
      <c r="AJ317">
        <f t="shared" si="9"/>
        <v>0</v>
      </c>
      <c r="AK317">
        <v>0</v>
      </c>
    </row>
    <row r="318" spans="1:38">
      <c r="A318" s="15">
        <v>39727</v>
      </c>
      <c r="B318" t="s">
        <v>109</v>
      </c>
      <c r="C318">
        <v>21</v>
      </c>
      <c r="D318" t="s">
        <v>138</v>
      </c>
      <c r="E318" t="s">
        <v>123</v>
      </c>
      <c r="F318">
        <v>2008</v>
      </c>
      <c r="G318" t="s">
        <v>16</v>
      </c>
      <c r="H318">
        <v>103</v>
      </c>
      <c r="L318"/>
      <c r="M318"/>
      <c r="AJ318">
        <f t="shared" si="9"/>
        <v>103</v>
      </c>
      <c r="AK318">
        <v>1</v>
      </c>
      <c r="AL318" s="23">
        <f>170/103</f>
        <v>1.6504854368932038</v>
      </c>
    </row>
    <row r="319" spans="1:38">
      <c r="A319" s="15">
        <v>39728</v>
      </c>
      <c r="B319" t="s">
        <v>61</v>
      </c>
      <c r="C319">
        <v>24.5</v>
      </c>
      <c r="D319" t="s">
        <v>55</v>
      </c>
      <c r="E319" t="s">
        <v>131</v>
      </c>
      <c r="F319">
        <v>2008</v>
      </c>
      <c r="G319" t="s">
        <v>16</v>
      </c>
      <c r="H319">
        <v>31</v>
      </c>
      <c r="L319"/>
      <c r="M319"/>
      <c r="AJ319">
        <f t="shared" si="9"/>
        <v>31</v>
      </c>
      <c r="AK319">
        <v>1</v>
      </c>
      <c r="AL319" s="23">
        <f>40/31</f>
        <v>1.2903225806451613</v>
      </c>
    </row>
    <row r="320" spans="1:38">
      <c r="A320" s="15">
        <v>39728</v>
      </c>
      <c r="B320" t="s">
        <v>62</v>
      </c>
      <c r="C320">
        <v>24.5</v>
      </c>
      <c r="D320" t="s">
        <v>56</v>
      </c>
      <c r="E320" t="s">
        <v>130</v>
      </c>
      <c r="F320">
        <v>2008</v>
      </c>
      <c r="G320" t="s">
        <v>16</v>
      </c>
      <c r="L320"/>
      <c r="M320"/>
      <c r="AJ320">
        <f t="shared" si="9"/>
        <v>0</v>
      </c>
      <c r="AK320">
        <v>0</v>
      </c>
    </row>
    <row r="321" spans="1:40">
      <c r="A321" s="15">
        <v>39728</v>
      </c>
      <c r="B321" t="s">
        <v>59</v>
      </c>
      <c r="C321">
        <v>24.5</v>
      </c>
      <c r="D321" t="s">
        <v>138</v>
      </c>
      <c r="E321" t="s">
        <v>123</v>
      </c>
      <c r="F321">
        <v>2008</v>
      </c>
      <c r="G321" t="s">
        <v>16</v>
      </c>
      <c r="L321"/>
      <c r="M321"/>
      <c r="AJ321">
        <f t="shared" si="9"/>
        <v>0</v>
      </c>
      <c r="AK321">
        <v>0</v>
      </c>
    </row>
    <row r="322" spans="1:40">
      <c r="A322" s="15">
        <v>39728</v>
      </c>
      <c r="B322" t="s">
        <v>109</v>
      </c>
      <c r="C322">
        <v>24.5</v>
      </c>
      <c r="D322" t="s">
        <v>138</v>
      </c>
      <c r="E322" t="s">
        <v>123</v>
      </c>
      <c r="F322">
        <v>2008</v>
      </c>
      <c r="G322" t="s">
        <v>16</v>
      </c>
      <c r="H322">
        <v>14</v>
      </c>
      <c r="L322"/>
      <c r="M322"/>
      <c r="AJ322">
        <f t="shared" si="9"/>
        <v>14</v>
      </c>
      <c r="AK322">
        <v>1</v>
      </c>
      <c r="AL322" s="23">
        <f>20/14</f>
        <v>1.4285714285714286</v>
      </c>
    </row>
    <row r="323" spans="1:40">
      <c r="A323" s="15">
        <v>39729</v>
      </c>
      <c r="B323" t="s">
        <v>61</v>
      </c>
      <c r="C323">
        <v>24</v>
      </c>
      <c r="D323" t="s">
        <v>55</v>
      </c>
      <c r="E323" t="s">
        <v>131</v>
      </c>
      <c r="F323">
        <v>2008</v>
      </c>
      <c r="G323" t="s">
        <v>16</v>
      </c>
      <c r="H323">
        <v>53</v>
      </c>
      <c r="L323"/>
      <c r="M323"/>
      <c r="R323">
        <v>1</v>
      </c>
      <c r="AJ323">
        <f t="shared" si="9"/>
        <v>54</v>
      </c>
      <c r="AK323">
        <v>2</v>
      </c>
      <c r="AL323" s="23">
        <f>75/53</f>
        <v>1.4150943396226414</v>
      </c>
    </row>
    <row r="324" spans="1:40">
      <c r="A324" s="15">
        <v>39729</v>
      </c>
      <c r="B324" t="s">
        <v>62</v>
      </c>
      <c r="C324">
        <v>24</v>
      </c>
      <c r="D324" t="s">
        <v>56</v>
      </c>
      <c r="E324" t="s">
        <v>130</v>
      </c>
      <c r="F324">
        <v>2008</v>
      </c>
      <c r="G324" t="s">
        <v>16</v>
      </c>
      <c r="L324"/>
      <c r="M324"/>
      <c r="AI324">
        <v>1</v>
      </c>
      <c r="AJ324">
        <f t="shared" si="9"/>
        <v>1</v>
      </c>
      <c r="AK324">
        <v>1</v>
      </c>
    </row>
    <row r="325" spans="1:40">
      <c r="A325" s="15">
        <v>39729</v>
      </c>
      <c r="B325" t="s">
        <v>59</v>
      </c>
      <c r="C325">
        <v>24</v>
      </c>
      <c r="D325" t="s">
        <v>138</v>
      </c>
      <c r="E325" t="s">
        <v>123</v>
      </c>
      <c r="F325">
        <v>2008</v>
      </c>
      <c r="G325" t="s">
        <v>16</v>
      </c>
      <c r="AJ325">
        <f t="shared" si="9"/>
        <v>0</v>
      </c>
    </row>
    <row r="326" spans="1:40">
      <c r="A326" s="15">
        <v>39729</v>
      </c>
      <c r="B326" t="s">
        <v>109</v>
      </c>
      <c r="C326">
        <v>24</v>
      </c>
      <c r="D326" t="s">
        <v>138</v>
      </c>
      <c r="E326" t="s">
        <v>123</v>
      </c>
      <c r="F326">
        <v>2008</v>
      </c>
      <c r="G326" t="s">
        <v>16</v>
      </c>
      <c r="H326">
        <v>14</v>
      </c>
      <c r="AJ326">
        <f t="shared" si="9"/>
        <v>14</v>
      </c>
      <c r="AK326">
        <v>1</v>
      </c>
      <c r="AL326" s="23">
        <f>15/14</f>
        <v>1.0714285714285714</v>
      </c>
    </row>
    <row r="327" spans="1:40">
      <c r="A327" s="15">
        <v>39729</v>
      </c>
      <c r="B327" t="s">
        <v>58</v>
      </c>
      <c r="C327">
        <v>19.5</v>
      </c>
      <c r="D327" t="s">
        <v>138</v>
      </c>
      <c r="E327" t="s">
        <v>123</v>
      </c>
      <c r="F327">
        <v>2008</v>
      </c>
      <c r="G327" t="s">
        <v>16</v>
      </c>
      <c r="K327">
        <v>1</v>
      </c>
      <c r="AJ327">
        <f t="shared" si="9"/>
        <v>1</v>
      </c>
      <c r="AK327">
        <v>1</v>
      </c>
    </row>
    <row r="328" spans="1:40">
      <c r="A328" s="15">
        <v>39730</v>
      </c>
      <c r="B328" t="s">
        <v>61</v>
      </c>
      <c r="C328">
        <v>24</v>
      </c>
      <c r="D328" t="s">
        <v>55</v>
      </c>
      <c r="E328" t="s">
        <v>131</v>
      </c>
      <c r="F328">
        <v>2008</v>
      </c>
      <c r="G328" t="s">
        <v>16</v>
      </c>
      <c r="H328">
        <v>42</v>
      </c>
      <c r="AJ328">
        <f t="shared" si="9"/>
        <v>42</v>
      </c>
      <c r="AK328">
        <v>1</v>
      </c>
      <c r="AL328" s="23">
        <f>75/42</f>
        <v>1.7857142857142858</v>
      </c>
    </row>
    <row r="329" spans="1:40">
      <c r="A329" s="15">
        <v>39730</v>
      </c>
      <c r="B329" t="s">
        <v>59</v>
      </c>
      <c r="C329">
        <v>24</v>
      </c>
      <c r="D329" t="s">
        <v>138</v>
      </c>
      <c r="E329" t="s">
        <v>123</v>
      </c>
      <c r="F329">
        <v>2008</v>
      </c>
      <c r="G329" t="s">
        <v>16</v>
      </c>
      <c r="K329">
        <v>2</v>
      </c>
      <c r="AJ329">
        <f t="shared" si="9"/>
        <v>2</v>
      </c>
    </row>
    <row r="330" spans="1:40">
      <c r="A330" s="15">
        <v>39730</v>
      </c>
      <c r="B330" t="s">
        <v>109</v>
      </c>
      <c r="C330">
        <v>24</v>
      </c>
      <c r="D330" t="s">
        <v>138</v>
      </c>
      <c r="E330" t="s">
        <v>123</v>
      </c>
      <c r="F330">
        <v>2008</v>
      </c>
      <c r="G330" t="s">
        <v>16</v>
      </c>
      <c r="H330">
        <v>15</v>
      </c>
      <c r="K330" t="s">
        <v>110</v>
      </c>
      <c r="AJ330">
        <f t="shared" si="9"/>
        <v>15</v>
      </c>
      <c r="AK330">
        <v>1</v>
      </c>
      <c r="AL330" s="23">
        <f>20/12</f>
        <v>1.6666666666666667</v>
      </c>
    </row>
    <row r="331" spans="1:40">
      <c r="A331" s="15">
        <v>39730</v>
      </c>
      <c r="B331" t="s">
        <v>58</v>
      </c>
      <c r="C331">
        <v>24</v>
      </c>
      <c r="D331" t="s">
        <v>138</v>
      </c>
      <c r="E331" t="s">
        <v>123</v>
      </c>
      <c r="F331">
        <v>2008</v>
      </c>
      <c r="G331" t="s">
        <v>16</v>
      </c>
      <c r="K331">
        <v>6</v>
      </c>
      <c r="AF331">
        <v>2</v>
      </c>
      <c r="AJ331">
        <f t="shared" si="9"/>
        <v>8</v>
      </c>
      <c r="AK331">
        <v>2</v>
      </c>
    </row>
    <row r="332" spans="1:40">
      <c r="A332" s="15">
        <v>39765</v>
      </c>
      <c r="B332" t="s">
        <v>61</v>
      </c>
      <c r="C332">
        <v>22</v>
      </c>
      <c r="D332" t="s">
        <v>55</v>
      </c>
      <c r="E332" t="s">
        <v>131</v>
      </c>
      <c r="F332">
        <v>2008</v>
      </c>
      <c r="G332" t="s">
        <v>16</v>
      </c>
      <c r="H332">
        <v>1</v>
      </c>
      <c r="AJ332">
        <v>1</v>
      </c>
      <c r="AK332">
        <v>1</v>
      </c>
      <c r="AL332" s="23">
        <v>2.5</v>
      </c>
    </row>
    <row r="333" spans="1:40">
      <c r="A333" s="15">
        <v>39765</v>
      </c>
      <c r="B333" t="s">
        <v>59</v>
      </c>
      <c r="C333">
        <v>20.5</v>
      </c>
      <c r="D333" t="s">
        <v>138</v>
      </c>
      <c r="E333" t="s">
        <v>123</v>
      </c>
      <c r="F333">
        <v>2008</v>
      </c>
      <c r="G333" t="s">
        <v>16</v>
      </c>
      <c r="H333">
        <v>1</v>
      </c>
      <c r="AJ333">
        <v>1</v>
      </c>
      <c r="AK333">
        <v>1</v>
      </c>
      <c r="AL333" s="23">
        <v>2</v>
      </c>
    </row>
    <row r="334" spans="1:40">
      <c r="A334" s="15">
        <v>39765</v>
      </c>
      <c r="B334" t="s">
        <v>58</v>
      </c>
      <c r="C334">
        <v>1</v>
      </c>
      <c r="D334" t="s">
        <v>138</v>
      </c>
      <c r="E334" t="s">
        <v>123</v>
      </c>
      <c r="F334">
        <v>2008</v>
      </c>
      <c r="G334" t="s">
        <v>16</v>
      </c>
      <c r="H334">
        <v>15</v>
      </c>
      <c r="AJ334">
        <v>20</v>
      </c>
      <c r="AK334">
        <v>1</v>
      </c>
      <c r="AL334" s="23">
        <f>20/15</f>
        <v>1.3333333333333333</v>
      </c>
    </row>
    <row r="335" spans="1:40">
      <c r="A335" s="15">
        <v>40091</v>
      </c>
      <c r="B335" t="s">
        <v>61</v>
      </c>
      <c r="C335">
        <v>14.5</v>
      </c>
      <c r="D335" t="s">
        <v>55</v>
      </c>
      <c r="E335" t="s">
        <v>131</v>
      </c>
      <c r="F335">
        <v>2009</v>
      </c>
      <c r="G335" t="s">
        <v>16</v>
      </c>
      <c r="H335">
        <v>56</v>
      </c>
      <c r="Y335">
        <v>1</v>
      </c>
      <c r="AJ335">
        <f t="shared" ref="AJ335:AJ353" si="10">SUM(H335:AI335)</f>
        <v>57</v>
      </c>
      <c r="AK335">
        <v>2</v>
      </c>
      <c r="AL335" s="23">
        <f>245/56</f>
        <v>4.375</v>
      </c>
      <c r="AN335">
        <v>10</v>
      </c>
    </row>
    <row r="336" spans="1:40">
      <c r="A336" s="15">
        <v>40091</v>
      </c>
      <c r="B336" t="s">
        <v>62</v>
      </c>
      <c r="C336">
        <v>14.5</v>
      </c>
      <c r="D336" t="s">
        <v>56</v>
      </c>
      <c r="E336" t="s">
        <v>130</v>
      </c>
      <c r="F336">
        <v>2009</v>
      </c>
      <c r="G336" t="s">
        <v>16</v>
      </c>
      <c r="AJ336">
        <f t="shared" si="10"/>
        <v>0</v>
      </c>
      <c r="AK336">
        <v>0</v>
      </c>
    </row>
    <row r="337" spans="1:40">
      <c r="A337" s="15">
        <v>40091</v>
      </c>
      <c r="B337" t="s">
        <v>59</v>
      </c>
      <c r="C337">
        <v>14.5</v>
      </c>
      <c r="D337" t="s">
        <v>138</v>
      </c>
      <c r="E337" t="s">
        <v>124</v>
      </c>
      <c r="F337">
        <v>2009</v>
      </c>
      <c r="G337" t="s">
        <v>16</v>
      </c>
      <c r="H337">
        <v>47</v>
      </c>
      <c r="AF337">
        <v>1</v>
      </c>
      <c r="AJ337">
        <f t="shared" si="10"/>
        <v>48</v>
      </c>
      <c r="AK337">
        <v>2</v>
      </c>
      <c r="AL337" s="23">
        <f>132/47</f>
        <v>2.8085106382978724</v>
      </c>
    </row>
    <row r="338" spans="1:40">
      <c r="A338" s="15">
        <v>40091</v>
      </c>
      <c r="B338" t="s">
        <v>58</v>
      </c>
      <c r="C338">
        <v>14.5</v>
      </c>
      <c r="D338" t="s">
        <v>138</v>
      </c>
      <c r="E338" t="s">
        <v>124</v>
      </c>
      <c r="F338">
        <v>2009</v>
      </c>
      <c r="G338" t="s">
        <v>16</v>
      </c>
      <c r="H338">
        <v>196</v>
      </c>
      <c r="AJ338">
        <f t="shared" si="10"/>
        <v>196</v>
      </c>
      <c r="AK338">
        <v>1</v>
      </c>
      <c r="AL338" s="23">
        <f>398/196</f>
        <v>2.0306122448979593</v>
      </c>
    </row>
    <row r="339" spans="1:40">
      <c r="A339" s="15">
        <v>40092</v>
      </c>
      <c r="B339" t="s">
        <v>61</v>
      </c>
      <c r="C339">
        <v>24</v>
      </c>
      <c r="D339" t="s">
        <v>55</v>
      </c>
      <c r="E339" t="s">
        <v>131</v>
      </c>
      <c r="F339">
        <v>2009</v>
      </c>
      <c r="G339" t="s">
        <v>16</v>
      </c>
      <c r="H339">
        <v>78</v>
      </c>
      <c r="X339">
        <v>1</v>
      </c>
      <c r="Y339">
        <v>3</v>
      </c>
      <c r="AJ339">
        <f t="shared" si="10"/>
        <v>82</v>
      </c>
      <c r="AK339">
        <v>3</v>
      </c>
      <c r="AL339" s="23">
        <f>205/78</f>
        <v>2.6282051282051282</v>
      </c>
      <c r="AN339">
        <f>35/3</f>
        <v>11.666666666666666</v>
      </c>
    </row>
    <row r="340" spans="1:40">
      <c r="A340" s="15">
        <v>40092</v>
      </c>
      <c r="B340" t="s">
        <v>62</v>
      </c>
      <c r="C340">
        <v>24</v>
      </c>
      <c r="D340" t="s">
        <v>56</v>
      </c>
      <c r="E340" t="s">
        <v>130</v>
      </c>
      <c r="F340">
        <v>2009</v>
      </c>
      <c r="G340" t="s">
        <v>16</v>
      </c>
      <c r="H340">
        <v>60</v>
      </c>
      <c r="AJ340">
        <f t="shared" si="10"/>
        <v>60</v>
      </c>
      <c r="AK340">
        <v>1</v>
      </c>
      <c r="AL340" s="23">
        <f>115/60</f>
        <v>1.9166666666666667</v>
      </c>
    </row>
    <row r="341" spans="1:40">
      <c r="A341" s="15">
        <v>40092</v>
      </c>
      <c r="B341" t="s">
        <v>59</v>
      </c>
      <c r="C341">
        <v>24</v>
      </c>
      <c r="D341" t="s">
        <v>138</v>
      </c>
      <c r="E341" t="s">
        <v>124</v>
      </c>
      <c r="F341">
        <v>2009</v>
      </c>
      <c r="G341" t="s">
        <v>16</v>
      </c>
      <c r="H341">
        <v>68</v>
      </c>
      <c r="AJ341">
        <f t="shared" si="10"/>
        <v>68</v>
      </c>
      <c r="AK341">
        <v>1</v>
      </c>
      <c r="AL341" s="23">
        <f>145/68</f>
        <v>2.1323529411764706</v>
      </c>
    </row>
    <row r="342" spans="1:40">
      <c r="A342" s="15">
        <v>40092</v>
      </c>
      <c r="B342" t="s">
        <v>58</v>
      </c>
      <c r="C342">
        <v>24</v>
      </c>
      <c r="D342" t="s">
        <v>138</v>
      </c>
      <c r="E342" t="s">
        <v>124</v>
      </c>
      <c r="F342">
        <v>2009</v>
      </c>
      <c r="G342" t="s">
        <v>16</v>
      </c>
      <c r="H342">
        <v>203</v>
      </c>
      <c r="AJ342">
        <f t="shared" si="10"/>
        <v>203</v>
      </c>
      <c r="AK342">
        <v>1</v>
      </c>
      <c r="AL342" s="23">
        <f>350/203</f>
        <v>1.7241379310344827</v>
      </c>
    </row>
    <row r="343" spans="1:40">
      <c r="A343" s="15">
        <v>40100</v>
      </c>
      <c r="B343" t="s">
        <v>61</v>
      </c>
      <c r="C343">
        <v>16</v>
      </c>
      <c r="D343" t="s">
        <v>55</v>
      </c>
      <c r="E343" t="s">
        <v>131</v>
      </c>
      <c r="F343">
        <v>2009</v>
      </c>
      <c r="G343" t="s">
        <v>16</v>
      </c>
      <c r="H343">
        <v>67</v>
      </c>
      <c r="AJ343">
        <f t="shared" si="10"/>
        <v>67</v>
      </c>
      <c r="AK343">
        <v>1</v>
      </c>
      <c r="AL343" s="23">
        <f>125/67</f>
        <v>1.8656716417910448</v>
      </c>
    </row>
    <row r="344" spans="1:40">
      <c r="A344" s="15">
        <v>40100</v>
      </c>
      <c r="B344" t="s">
        <v>62</v>
      </c>
      <c r="C344">
        <v>16</v>
      </c>
      <c r="D344" t="s">
        <v>56</v>
      </c>
      <c r="E344" t="s">
        <v>130</v>
      </c>
      <c r="F344">
        <v>2009</v>
      </c>
      <c r="G344" t="s">
        <v>16</v>
      </c>
      <c r="AJ344">
        <f t="shared" si="10"/>
        <v>0</v>
      </c>
      <c r="AK344">
        <v>0</v>
      </c>
    </row>
    <row r="345" spans="1:40">
      <c r="A345" s="15">
        <v>40100</v>
      </c>
      <c r="B345" t="s">
        <v>59</v>
      </c>
      <c r="C345">
        <v>16</v>
      </c>
      <c r="D345" t="s">
        <v>138</v>
      </c>
      <c r="E345" t="s">
        <v>124</v>
      </c>
      <c r="F345">
        <v>2009</v>
      </c>
      <c r="G345" t="s">
        <v>16</v>
      </c>
      <c r="H345">
        <v>3</v>
      </c>
      <c r="AG345">
        <v>1</v>
      </c>
      <c r="AJ345">
        <f t="shared" si="10"/>
        <v>4</v>
      </c>
      <c r="AK345">
        <v>2</v>
      </c>
      <c r="AL345" s="23">
        <f>3.5/3</f>
        <v>1.1666666666666667</v>
      </c>
    </row>
    <row r="346" spans="1:40">
      <c r="A346" s="15">
        <v>40100</v>
      </c>
      <c r="B346" t="s">
        <v>58</v>
      </c>
      <c r="C346">
        <v>16</v>
      </c>
      <c r="D346" t="s">
        <v>138</v>
      </c>
      <c r="E346" t="s">
        <v>124</v>
      </c>
      <c r="F346">
        <v>2009</v>
      </c>
      <c r="G346" t="s">
        <v>16</v>
      </c>
      <c r="H346">
        <v>23</v>
      </c>
      <c r="AJ346">
        <f t="shared" si="10"/>
        <v>23</v>
      </c>
      <c r="AK346">
        <v>1</v>
      </c>
      <c r="AL346" s="23">
        <f>50/23</f>
        <v>2.1739130434782608</v>
      </c>
    </row>
    <row r="347" spans="1:40">
      <c r="A347" s="15">
        <v>40101</v>
      </c>
      <c r="B347" t="s">
        <v>61</v>
      </c>
      <c r="C347">
        <v>24</v>
      </c>
      <c r="D347" t="s">
        <v>55</v>
      </c>
      <c r="E347" t="s">
        <v>131</v>
      </c>
      <c r="F347">
        <v>2009</v>
      </c>
      <c r="G347" t="s">
        <v>16</v>
      </c>
      <c r="H347">
        <v>24</v>
      </c>
      <c r="V347">
        <v>2</v>
      </c>
      <c r="AJ347">
        <f t="shared" si="10"/>
        <v>26</v>
      </c>
      <c r="AK347">
        <v>2</v>
      </c>
      <c r="AL347" s="23">
        <f>85/24</f>
        <v>3.5416666666666665</v>
      </c>
    </row>
    <row r="348" spans="1:40">
      <c r="A348" s="15">
        <v>40101</v>
      </c>
      <c r="B348" t="s">
        <v>62</v>
      </c>
      <c r="C348">
        <v>24</v>
      </c>
      <c r="D348" t="s">
        <v>56</v>
      </c>
      <c r="E348" t="s">
        <v>130</v>
      </c>
      <c r="F348">
        <v>2009</v>
      </c>
      <c r="G348" t="s">
        <v>16</v>
      </c>
      <c r="H348">
        <v>2</v>
      </c>
      <c r="AJ348">
        <f t="shared" si="10"/>
        <v>2</v>
      </c>
      <c r="AK348">
        <v>1</v>
      </c>
      <c r="AL348" s="23">
        <v>3</v>
      </c>
    </row>
    <row r="349" spans="1:40">
      <c r="A349" s="15">
        <v>40101</v>
      </c>
      <c r="B349" t="s">
        <v>59</v>
      </c>
      <c r="C349">
        <v>24</v>
      </c>
      <c r="D349" t="s">
        <v>138</v>
      </c>
      <c r="E349" t="s">
        <v>124</v>
      </c>
      <c r="F349">
        <v>2009</v>
      </c>
      <c r="G349" t="s">
        <v>16</v>
      </c>
      <c r="H349">
        <v>47</v>
      </c>
      <c r="S349">
        <v>1</v>
      </c>
      <c r="AJ349">
        <f t="shared" si="10"/>
        <v>48</v>
      </c>
      <c r="AK349">
        <v>2</v>
      </c>
      <c r="AL349" s="23">
        <f>80/47</f>
        <v>1.7021276595744681</v>
      </c>
      <c r="AM349">
        <v>10</v>
      </c>
    </row>
    <row r="350" spans="1:40">
      <c r="A350" s="15">
        <v>40101</v>
      </c>
      <c r="B350" t="s">
        <v>58</v>
      </c>
      <c r="C350">
        <v>24</v>
      </c>
      <c r="D350" t="s">
        <v>138</v>
      </c>
      <c r="E350" t="s">
        <v>124</v>
      </c>
      <c r="F350">
        <v>2009</v>
      </c>
      <c r="G350" t="s">
        <v>16</v>
      </c>
      <c r="H350">
        <v>121</v>
      </c>
      <c r="AJ350">
        <f t="shared" si="10"/>
        <v>121</v>
      </c>
      <c r="AK350">
        <v>1</v>
      </c>
      <c r="AL350" s="23">
        <f>275/121</f>
        <v>2.2727272727272729</v>
      </c>
    </row>
    <row r="351" spans="1:40">
      <c r="A351" s="15">
        <v>40463</v>
      </c>
      <c r="B351" t="s">
        <v>61</v>
      </c>
      <c r="C351">
        <v>19.5</v>
      </c>
      <c r="D351" t="s">
        <v>55</v>
      </c>
      <c r="E351" t="s">
        <v>131</v>
      </c>
      <c r="F351">
        <v>2010</v>
      </c>
      <c r="G351" t="s">
        <v>16</v>
      </c>
      <c r="H351">
        <v>81</v>
      </c>
      <c r="V351">
        <v>2</v>
      </c>
      <c r="Y351">
        <v>1</v>
      </c>
      <c r="AG351">
        <v>1</v>
      </c>
      <c r="AJ351">
        <f t="shared" si="10"/>
        <v>85</v>
      </c>
      <c r="AK351">
        <v>4</v>
      </c>
      <c r="AL351" s="23">
        <v>2.16</v>
      </c>
      <c r="AN351">
        <v>5</v>
      </c>
    </row>
    <row r="352" spans="1:40">
      <c r="A352" s="15">
        <v>40463</v>
      </c>
      <c r="B352" t="s">
        <v>62</v>
      </c>
      <c r="C352">
        <v>19.5</v>
      </c>
      <c r="D352" t="s">
        <v>56</v>
      </c>
      <c r="E352" t="s">
        <v>129</v>
      </c>
      <c r="F352">
        <v>2010</v>
      </c>
      <c r="G352" t="s">
        <v>16</v>
      </c>
      <c r="H352">
        <v>216</v>
      </c>
      <c r="AJ352">
        <f t="shared" si="10"/>
        <v>216</v>
      </c>
      <c r="AK352">
        <v>1</v>
      </c>
      <c r="AL352" s="23">
        <v>1.8</v>
      </c>
    </row>
    <row r="353" spans="1:40">
      <c r="A353" s="15">
        <v>40463</v>
      </c>
      <c r="B353" t="s">
        <v>126</v>
      </c>
      <c r="C353">
        <v>19.5</v>
      </c>
      <c r="D353" t="s">
        <v>138</v>
      </c>
      <c r="E353" t="s">
        <v>124</v>
      </c>
      <c r="F353">
        <v>2010</v>
      </c>
      <c r="G353" t="s">
        <v>16</v>
      </c>
      <c r="H353">
        <v>89</v>
      </c>
      <c r="Y353">
        <v>2</v>
      </c>
      <c r="AJ353">
        <f t="shared" si="10"/>
        <v>91</v>
      </c>
      <c r="AK353">
        <v>2</v>
      </c>
      <c r="AL353" s="23">
        <v>1.8</v>
      </c>
      <c r="AN353" s="23">
        <v>2.5</v>
      </c>
    </row>
    <row r="354" spans="1:40">
      <c r="A354" s="15">
        <v>40463</v>
      </c>
      <c r="B354" t="s">
        <v>109</v>
      </c>
      <c r="C354">
        <v>19.5</v>
      </c>
      <c r="D354" t="s">
        <v>138</v>
      </c>
      <c r="E354" t="s">
        <v>124</v>
      </c>
      <c r="F354">
        <v>2010</v>
      </c>
      <c r="G354" t="s">
        <v>16</v>
      </c>
      <c r="H354">
        <v>123</v>
      </c>
      <c r="AJ354">
        <v>123</v>
      </c>
      <c r="AL354" s="23">
        <v>2</v>
      </c>
    </row>
    <row r="355" spans="1:40">
      <c r="A355" s="15">
        <v>40464</v>
      </c>
      <c r="B355" t="s">
        <v>61</v>
      </c>
      <c r="C355">
        <v>19.5</v>
      </c>
      <c r="D355" t="s">
        <v>55</v>
      </c>
      <c r="E355" t="s">
        <v>131</v>
      </c>
      <c r="F355">
        <v>2010</v>
      </c>
      <c r="G355" t="s">
        <v>16</v>
      </c>
      <c r="H355">
        <v>106</v>
      </c>
      <c r="V355">
        <v>1</v>
      </c>
      <c r="Y355">
        <v>1</v>
      </c>
      <c r="AJ355">
        <f t="shared" ref="AJ355:AJ382" si="11">SUM(H355:AI355)</f>
        <v>108</v>
      </c>
      <c r="AK355">
        <v>3</v>
      </c>
      <c r="AL355" s="23">
        <v>2</v>
      </c>
      <c r="AN355">
        <v>1</v>
      </c>
    </row>
    <row r="356" spans="1:40">
      <c r="A356" s="15">
        <v>40464</v>
      </c>
      <c r="B356" t="s">
        <v>62</v>
      </c>
      <c r="C356">
        <v>24</v>
      </c>
      <c r="D356" t="s">
        <v>56</v>
      </c>
      <c r="E356" t="s">
        <v>129</v>
      </c>
      <c r="F356">
        <v>2010</v>
      </c>
      <c r="G356" t="s">
        <v>16</v>
      </c>
      <c r="H356">
        <v>157</v>
      </c>
      <c r="AJ356">
        <f t="shared" si="11"/>
        <v>157</v>
      </c>
      <c r="AK356">
        <v>1</v>
      </c>
      <c r="AL356" s="23">
        <v>2</v>
      </c>
    </row>
    <row r="357" spans="1:40">
      <c r="A357" s="15">
        <v>40464</v>
      </c>
      <c r="B357" t="s">
        <v>59</v>
      </c>
      <c r="C357">
        <v>24</v>
      </c>
      <c r="D357" t="s">
        <v>138</v>
      </c>
      <c r="E357" t="s">
        <v>124</v>
      </c>
      <c r="F357">
        <v>2010</v>
      </c>
      <c r="G357" t="s">
        <v>16</v>
      </c>
      <c r="H357">
        <v>137</v>
      </c>
      <c r="AJ357">
        <f t="shared" si="11"/>
        <v>137</v>
      </c>
      <c r="AK357">
        <v>1</v>
      </c>
      <c r="AL357" s="23">
        <v>1.8</v>
      </c>
    </row>
    <row r="358" spans="1:40">
      <c r="A358" s="15">
        <v>40464</v>
      </c>
      <c r="B358" t="s">
        <v>58</v>
      </c>
      <c r="C358">
        <v>24</v>
      </c>
      <c r="D358" t="s">
        <v>138</v>
      </c>
      <c r="E358" t="s">
        <v>124</v>
      </c>
      <c r="F358">
        <v>2010</v>
      </c>
      <c r="G358" t="s">
        <v>16</v>
      </c>
      <c r="H358">
        <v>29</v>
      </c>
      <c r="AJ358">
        <f t="shared" si="11"/>
        <v>29</v>
      </c>
      <c r="AK358">
        <v>1</v>
      </c>
      <c r="AL358" s="23">
        <v>2.4</v>
      </c>
    </row>
    <row r="359" spans="1:40">
      <c r="A359" s="15">
        <v>40465</v>
      </c>
      <c r="B359" t="s">
        <v>61</v>
      </c>
      <c r="C359">
        <v>24</v>
      </c>
      <c r="D359" t="s">
        <v>55</v>
      </c>
      <c r="E359" t="s">
        <v>131</v>
      </c>
      <c r="F359">
        <v>2010</v>
      </c>
      <c r="G359" t="s">
        <v>16</v>
      </c>
      <c r="H359">
        <v>87</v>
      </c>
      <c r="L359"/>
      <c r="M359"/>
      <c r="V359">
        <v>2</v>
      </c>
      <c r="AJ359">
        <f>SUM(H359:AI359)</f>
        <v>89</v>
      </c>
      <c r="AK359">
        <v>2</v>
      </c>
      <c r="AL359" s="23">
        <v>1.72</v>
      </c>
    </row>
    <row r="360" spans="1:40">
      <c r="A360" s="15">
        <v>40465</v>
      </c>
      <c r="B360" t="s">
        <v>59</v>
      </c>
      <c r="C360">
        <v>24</v>
      </c>
      <c r="D360" t="s">
        <v>56</v>
      </c>
      <c r="E360" t="s">
        <v>129</v>
      </c>
      <c r="F360">
        <v>2010</v>
      </c>
      <c r="G360" t="s">
        <v>16</v>
      </c>
      <c r="H360">
        <v>39</v>
      </c>
      <c r="L360"/>
      <c r="M360"/>
      <c r="AJ360">
        <f>SUM(H360:AI360)</f>
        <v>39</v>
      </c>
      <c r="AK360">
        <v>1</v>
      </c>
      <c r="AL360" s="23">
        <v>1.54</v>
      </c>
    </row>
    <row r="361" spans="1:40">
      <c r="A361" s="15">
        <v>40465</v>
      </c>
      <c r="B361" t="s">
        <v>58</v>
      </c>
      <c r="C361">
        <v>24</v>
      </c>
      <c r="D361" t="s">
        <v>138</v>
      </c>
      <c r="E361" t="s">
        <v>124</v>
      </c>
      <c r="F361">
        <v>2010</v>
      </c>
      <c r="G361" t="s">
        <v>16</v>
      </c>
      <c r="H361">
        <v>87</v>
      </c>
      <c r="L361"/>
      <c r="M361"/>
      <c r="V361">
        <v>2</v>
      </c>
      <c r="AJ361">
        <f>SUM(H361:AI361)</f>
        <v>89</v>
      </c>
      <c r="AK361">
        <v>2</v>
      </c>
      <c r="AL361" s="23">
        <v>1.7</v>
      </c>
    </row>
    <row r="362" spans="1:40">
      <c r="A362" s="15">
        <v>40465</v>
      </c>
      <c r="B362" t="s">
        <v>62</v>
      </c>
      <c r="C362">
        <v>24</v>
      </c>
      <c r="D362" t="s">
        <v>138</v>
      </c>
      <c r="E362" t="s">
        <v>129</v>
      </c>
      <c r="F362">
        <v>2010</v>
      </c>
      <c r="G362" t="s">
        <v>16</v>
      </c>
      <c r="H362">
        <v>35</v>
      </c>
      <c r="L362"/>
      <c r="M362"/>
      <c r="AJ362">
        <f>SUM(H362:AI362)</f>
        <v>35</v>
      </c>
      <c r="AK362">
        <v>1</v>
      </c>
      <c r="AL362" s="23">
        <v>2.14</v>
      </c>
    </row>
    <row r="363" spans="1:40">
      <c r="A363" s="15">
        <v>40479</v>
      </c>
      <c r="B363" t="s">
        <v>61</v>
      </c>
      <c r="C363">
        <v>25</v>
      </c>
      <c r="D363" t="s">
        <v>55</v>
      </c>
      <c r="E363" t="s">
        <v>131</v>
      </c>
      <c r="F363">
        <v>2010</v>
      </c>
      <c r="G363" t="s">
        <v>16</v>
      </c>
      <c r="H363">
        <v>67</v>
      </c>
      <c r="V363">
        <v>1</v>
      </c>
      <c r="AJ363">
        <f t="shared" si="11"/>
        <v>68</v>
      </c>
      <c r="AK363">
        <v>2</v>
      </c>
      <c r="AL363" s="23">
        <v>1.79</v>
      </c>
    </row>
    <row r="364" spans="1:40">
      <c r="A364" s="15">
        <v>40479</v>
      </c>
      <c r="B364" t="s">
        <v>62</v>
      </c>
      <c r="C364">
        <v>25</v>
      </c>
      <c r="D364" t="s">
        <v>56</v>
      </c>
      <c r="E364" t="s">
        <v>129</v>
      </c>
      <c r="F364">
        <v>2010</v>
      </c>
      <c r="G364" t="s">
        <v>16</v>
      </c>
      <c r="H364">
        <v>192</v>
      </c>
      <c r="K364">
        <v>1</v>
      </c>
      <c r="AJ364">
        <f t="shared" si="11"/>
        <v>193</v>
      </c>
      <c r="AK364">
        <v>2</v>
      </c>
    </row>
    <row r="365" spans="1:40">
      <c r="A365" s="15">
        <v>40479</v>
      </c>
      <c r="B365" t="s">
        <v>59</v>
      </c>
      <c r="C365">
        <v>25</v>
      </c>
      <c r="D365" t="s">
        <v>138</v>
      </c>
      <c r="E365" t="s">
        <v>124</v>
      </c>
      <c r="F365">
        <v>2010</v>
      </c>
      <c r="G365" t="s">
        <v>16</v>
      </c>
      <c r="H365">
        <v>177</v>
      </c>
      <c r="I365">
        <v>1</v>
      </c>
      <c r="AJ365">
        <f t="shared" si="11"/>
        <v>178</v>
      </c>
      <c r="AK365">
        <v>2</v>
      </c>
      <c r="AL365" s="23">
        <v>1.76</v>
      </c>
    </row>
    <row r="366" spans="1:40">
      <c r="A366" s="15">
        <v>40479</v>
      </c>
      <c r="B366" t="s">
        <v>58</v>
      </c>
      <c r="C366">
        <v>25</v>
      </c>
      <c r="D366" t="s">
        <v>138</v>
      </c>
      <c r="E366" t="s">
        <v>124</v>
      </c>
      <c r="F366">
        <v>2010</v>
      </c>
      <c r="G366" t="s">
        <v>16</v>
      </c>
      <c r="H366">
        <v>105</v>
      </c>
      <c r="AJ366">
        <f t="shared" si="11"/>
        <v>105</v>
      </c>
      <c r="AK366">
        <v>1</v>
      </c>
      <c r="AL366" s="23">
        <v>2.0299999999999998</v>
      </c>
    </row>
    <row r="367" spans="1:40">
      <c r="A367" s="15">
        <v>40805</v>
      </c>
      <c r="B367" t="s">
        <v>61</v>
      </c>
      <c r="C367">
        <v>22</v>
      </c>
      <c r="D367" t="s">
        <v>55</v>
      </c>
      <c r="E367" t="s">
        <v>129</v>
      </c>
      <c r="F367">
        <v>2011</v>
      </c>
      <c r="G367" t="s">
        <v>16</v>
      </c>
      <c r="H367">
        <v>96</v>
      </c>
      <c r="AJ367">
        <f t="shared" si="11"/>
        <v>96</v>
      </c>
      <c r="AK367">
        <v>1</v>
      </c>
      <c r="AL367" s="23">
        <f>223/96</f>
        <v>2.3229166666666665</v>
      </c>
    </row>
    <row r="368" spans="1:40">
      <c r="A368" s="15">
        <v>40805</v>
      </c>
      <c r="B368" t="s">
        <v>62</v>
      </c>
      <c r="C368">
        <v>22</v>
      </c>
      <c r="D368" t="s">
        <v>56</v>
      </c>
      <c r="E368" t="s">
        <v>129</v>
      </c>
      <c r="F368">
        <v>2011</v>
      </c>
      <c r="G368" t="s">
        <v>16</v>
      </c>
      <c r="H368">
        <v>21</v>
      </c>
      <c r="K368">
        <v>1</v>
      </c>
      <c r="AG368">
        <v>1</v>
      </c>
      <c r="AJ368">
        <f t="shared" si="11"/>
        <v>23</v>
      </c>
      <c r="AK368">
        <v>3</v>
      </c>
      <c r="AL368" s="23">
        <f>25/21</f>
        <v>1.1904761904761905</v>
      </c>
    </row>
    <row r="369" spans="1:38">
      <c r="A369" s="15">
        <v>40805</v>
      </c>
      <c r="B369" t="s">
        <v>59</v>
      </c>
      <c r="C369">
        <v>22</v>
      </c>
      <c r="D369" t="s">
        <v>138</v>
      </c>
      <c r="E369" s="76" t="s">
        <v>135</v>
      </c>
      <c r="F369">
        <v>2011</v>
      </c>
      <c r="G369" t="s">
        <v>16</v>
      </c>
      <c r="AJ369">
        <f t="shared" si="11"/>
        <v>0</v>
      </c>
      <c r="AK369">
        <v>0</v>
      </c>
    </row>
    <row r="370" spans="1:38">
      <c r="A370" s="15">
        <v>40805</v>
      </c>
      <c r="B370" t="s">
        <v>3</v>
      </c>
      <c r="C370">
        <v>22</v>
      </c>
      <c r="D370" t="s">
        <v>57</v>
      </c>
      <c r="E370" s="76" t="s">
        <v>135</v>
      </c>
      <c r="F370">
        <v>2011</v>
      </c>
      <c r="G370" t="s">
        <v>16</v>
      </c>
      <c r="H370">
        <v>127</v>
      </c>
      <c r="AJ370">
        <f t="shared" si="11"/>
        <v>127</v>
      </c>
      <c r="AK370">
        <v>1</v>
      </c>
      <c r="AL370" s="23">
        <f>220/127</f>
        <v>1.7322834645669292</v>
      </c>
    </row>
    <row r="371" spans="1:38">
      <c r="A371" s="15">
        <v>40809</v>
      </c>
      <c r="B371" t="s">
        <v>58</v>
      </c>
      <c r="C371">
        <v>16</v>
      </c>
      <c r="D371" t="s">
        <v>138</v>
      </c>
      <c r="E371" s="76" t="s">
        <v>135</v>
      </c>
      <c r="F371">
        <v>2011</v>
      </c>
      <c r="G371" t="s">
        <v>16</v>
      </c>
    </row>
    <row r="372" spans="1:38">
      <c r="A372" s="15">
        <v>40809</v>
      </c>
      <c r="B372" t="s">
        <v>61</v>
      </c>
      <c r="C372">
        <v>16</v>
      </c>
      <c r="D372" t="s">
        <v>55</v>
      </c>
      <c r="E372" s="76" t="s">
        <v>135</v>
      </c>
      <c r="F372">
        <v>2011</v>
      </c>
      <c r="G372" t="s">
        <v>16</v>
      </c>
    </row>
    <row r="373" spans="1:38">
      <c r="A373" s="15">
        <v>40809</v>
      </c>
      <c r="B373" t="s">
        <v>62</v>
      </c>
      <c r="C373">
        <v>16</v>
      </c>
      <c r="D373" t="s">
        <v>56</v>
      </c>
      <c r="E373" t="s">
        <v>129</v>
      </c>
      <c r="F373">
        <v>2011</v>
      </c>
      <c r="G373" t="s">
        <v>16</v>
      </c>
      <c r="H373">
        <v>18</v>
      </c>
      <c r="Q373">
        <v>1</v>
      </c>
      <c r="AJ373">
        <f t="shared" si="11"/>
        <v>19</v>
      </c>
      <c r="AK373">
        <v>2</v>
      </c>
      <c r="AL373" s="23">
        <f>35/18</f>
        <v>1.9444444444444444</v>
      </c>
    </row>
    <row r="374" spans="1:38">
      <c r="A374" s="15">
        <v>40809</v>
      </c>
      <c r="B374" t="s">
        <v>59</v>
      </c>
      <c r="C374">
        <v>16</v>
      </c>
      <c r="D374" t="s">
        <v>138</v>
      </c>
      <c r="E374" s="76" t="s">
        <v>135</v>
      </c>
      <c r="F374">
        <v>2011</v>
      </c>
      <c r="G374" t="s">
        <v>16</v>
      </c>
      <c r="H374">
        <v>94</v>
      </c>
      <c r="AJ374">
        <f t="shared" si="11"/>
        <v>94</v>
      </c>
      <c r="AK374">
        <v>1</v>
      </c>
      <c r="AL374" s="23">
        <f>285/94</f>
        <v>3.0319148936170213</v>
      </c>
    </row>
    <row r="375" spans="1:38">
      <c r="A375" s="15">
        <v>40819</v>
      </c>
      <c r="B375" t="s">
        <v>61</v>
      </c>
      <c r="C375">
        <v>22.5</v>
      </c>
      <c r="D375" t="s">
        <v>55</v>
      </c>
      <c r="E375" t="s">
        <v>129</v>
      </c>
      <c r="F375">
        <v>2011</v>
      </c>
      <c r="G375" t="s">
        <v>16</v>
      </c>
      <c r="H375">
        <v>68</v>
      </c>
      <c r="K375">
        <v>1</v>
      </c>
      <c r="AJ375">
        <f t="shared" si="11"/>
        <v>69</v>
      </c>
      <c r="AK375">
        <v>2</v>
      </c>
      <c r="AL375" s="23">
        <f>310/68</f>
        <v>4.5588235294117645</v>
      </c>
    </row>
    <row r="376" spans="1:38">
      <c r="A376" s="15">
        <v>40819</v>
      </c>
      <c r="B376" t="s">
        <v>62</v>
      </c>
      <c r="C376">
        <v>22.5</v>
      </c>
      <c r="D376" t="s">
        <v>56</v>
      </c>
      <c r="E376" t="s">
        <v>129</v>
      </c>
      <c r="F376">
        <v>2011</v>
      </c>
      <c r="G376" t="s">
        <v>16</v>
      </c>
      <c r="AJ376">
        <f t="shared" si="11"/>
        <v>0</v>
      </c>
      <c r="AK376">
        <v>0</v>
      </c>
    </row>
    <row r="377" spans="1:38">
      <c r="A377" s="15">
        <v>40819</v>
      </c>
      <c r="B377" t="s">
        <v>59</v>
      </c>
      <c r="C377">
        <v>22.5</v>
      </c>
      <c r="D377" t="s">
        <v>138</v>
      </c>
      <c r="E377" s="76" t="s">
        <v>135</v>
      </c>
      <c r="F377">
        <v>2011</v>
      </c>
      <c r="G377" t="s">
        <v>16</v>
      </c>
      <c r="H377">
        <v>182</v>
      </c>
      <c r="K377">
        <v>1</v>
      </c>
      <c r="AJ377">
        <f t="shared" si="11"/>
        <v>183</v>
      </c>
      <c r="AK377">
        <v>2</v>
      </c>
      <c r="AL377" s="23">
        <f>390/182</f>
        <v>2.1428571428571428</v>
      </c>
    </row>
    <row r="378" spans="1:38">
      <c r="A378" s="15">
        <v>40819</v>
      </c>
      <c r="B378" t="s">
        <v>58</v>
      </c>
      <c r="C378">
        <v>22.5</v>
      </c>
      <c r="D378" t="s">
        <v>138</v>
      </c>
      <c r="E378" s="76" t="s">
        <v>135</v>
      </c>
      <c r="F378">
        <v>2011</v>
      </c>
      <c r="G378" t="s">
        <v>16</v>
      </c>
      <c r="H378">
        <v>62</v>
      </c>
      <c r="AJ378">
        <f t="shared" si="11"/>
        <v>62</v>
      </c>
      <c r="AK378">
        <v>1</v>
      </c>
      <c r="AL378" s="23">
        <f>145/62</f>
        <v>2.338709677419355</v>
      </c>
    </row>
    <row r="379" spans="1:38">
      <c r="A379" s="15">
        <v>40823</v>
      </c>
      <c r="B379" t="s">
        <v>60</v>
      </c>
      <c r="C379">
        <v>16</v>
      </c>
      <c r="D379" t="s">
        <v>55</v>
      </c>
      <c r="E379" t="s">
        <v>129</v>
      </c>
      <c r="F379">
        <v>2011</v>
      </c>
      <c r="G379" t="s">
        <v>16</v>
      </c>
      <c r="H379">
        <v>97</v>
      </c>
      <c r="AJ379">
        <f t="shared" si="11"/>
        <v>97</v>
      </c>
      <c r="AK379">
        <v>1</v>
      </c>
      <c r="AL379" s="23">
        <f>170/97</f>
        <v>1.7525773195876289</v>
      </c>
    </row>
    <row r="380" spans="1:38">
      <c r="A380" s="15">
        <v>40823</v>
      </c>
      <c r="B380" t="s">
        <v>62</v>
      </c>
      <c r="C380">
        <v>16</v>
      </c>
      <c r="D380" t="s">
        <v>56</v>
      </c>
      <c r="E380" t="s">
        <v>129</v>
      </c>
      <c r="F380">
        <v>2011</v>
      </c>
      <c r="G380" t="s">
        <v>16</v>
      </c>
      <c r="H380">
        <v>24</v>
      </c>
      <c r="AJ380">
        <f t="shared" si="11"/>
        <v>24</v>
      </c>
      <c r="AK380">
        <v>1</v>
      </c>
      <c r="AL380" s="23">
        <f>55/24</f>
        <v>2.2916666666666665</v>
      </c>
    </row>
    <row r="381" spans="1:38">
      <c r="A381" s="15">
        <v>40823</v>
      </c>
      <c r="B381" t="s">
        <v>59</v>
      </c>
      <c r="C381">
        <v>16</v>
      </c>
      <c r="D381" t="s">
        <v>138</v>
      </c>
      <c r="E381" s="76" t="s">
        <v>135</v>
      </c>
      <c r="F381">
        <v>2011</v>
      </c>
      <c r="G381" t="s">
        <v>16</v>
      </c>
      <c r="AJ381">
        <f t="shared" si="11"/>
        <v>0</v>
      </c>
      <c r="AK381">
        <v>0</v>
      </c>
    </row>
    <row r="382" spans="1:38">
      <c r="A382" s="15">
        <v>40823</v>
      </c>
      <c r="B382" t="s">
        <v>3</v>
      </c>
      <c r="C382">
        <v>16</v>
      </c>
      <c r="D382" t="s">
        <v>57</v>
      </c>
      <c r="E382" s="76" t="s">
        <v>135</v>
      </c>
      <c r="F382">
        <v>2011</v>
      </c>
      <c r="G382" t="s">
        <v>16</v>
      </c>
      <c r="H382">
        <v>121</v>
      </c>
      <c r="AJ382">
        <f t="shared" si="11"/>
        <v>121</v>
      </c>
      <c r="AK382">
        <v>1</v>
      </c>
      <c r="AL382" s="23">
        <f>215/121</f>
        <v>1.7768595041322315</v>
      </c>
    </row>
    <row r="383" spans="1:38">
      <c r="A383" s="15">
        <v>41193</v>
      </c>
      <c r="B383" t="s">
        <v>60</v>
      </c>
      <c r="D383" t="s">
        <v>55</v>
      </c>
      <c r="E383" s="76" t="s">
        <v>129</v>
      </c>
      <c r="F383">
        <v>2012</v>
      </c>
      <c r="G383" t="s">
        <v>16</v>
      </c>
      <c r="H383">
        <v>2</v>
      </c>
      <c r="AJ383">
        <v>2</v>
      </c>
      <c r="AK383">
        <v>1</v>
      </c>
      <c r="AL383" s="23">
        <f>9/2</f>
        <v>4.5</v>
      </c>
    </row>
    <row r="384" spans="1:38">
      <c r="A384" s="15">
        <v>41193</v>
      </c>
      <c r="B384" t="s">
        <v>58</v>
      </c>
      <c r="D384" t="s">
        <v>138</v>
      </c>
      <c r="E384" s="76" t="s">
        <v>135</v>
      </c>
      <c r="F384">
        <v>2012</v>
      </c>
      <c r="G384" t="s">
        <v>16</v>
      </c>
      <c r="H384">
        <v>310</v>
      </c>
      <c r="U384">
        <v>1</v>
      </c>
      <c r="AJ384">
        <v>311</v>
      </c>
      <c r="AK384">
        <v>2</v>
      </c>
      <c r="AL384" s="23">
        <f>700/310</f>
        <v>2.2580645161290325</v>
      </c>
    </row>
    <row r="385" spans="1:41">
      <c r="A385" s="15">
        <v>41194</v>
      </c>
      <c r="B385" t="s">
        <v>60</v>
      </c>
      <c r="C385">
        <v>24</v>
      </c>
      <c r="D385" t="s">
        <v>55</v>
      </c>
      <c r="E385" s="76" t="s">
        <v>129</v>
      </c>
      <c r="F385">
        <v>2012</v>
      </c>
      <c r="G385" t="s">
        <v>16</v>
      </c>
      <c r="H385">
        <v>148</v>
      </c>
      <c r="Y385">
        <v>1</v>
      </c>
      <c r="AJ385">
        <f>SUM(H385:AI385)</f>
        <v>149</v>
      </c>
      <c r="AK385">
        <v>2</v>
      </c>
      <c r="AL385" s="23">
        <f>330/148</f>
        <v>2.2297297297297298</v>
      </c>
      <c r="AN385">
        <v>2</v>
      </c>
    </row>
    <row r="386" spans="1:41">
      <c r="A386" s="15" t="s">
        <v>141</v>
      </c>
      <c r="B386" t="s">
        <v>5</v>
      </c>
      <c r="C386">
        <v>24</v>
      </c>
      <c r="D386" t="s">
        <v>56</v>
      </c>
      <c r="E386" s="76" t="s">
        <v>129</v>
      </c>
      <c r="F386">
        <v>2012</v>
      </c>
      <c r="G386" t="s">
        <v>16</v>
      </c>
      <c r="H386">
        <v>12</v>
      </c>
      <c r="AJ386">
        <f>SUM(H386:AI386)</f>
        <v>12</v>
      </c>
      <c r="AK386">
        <v>1</v>
      </c>
      <c r="AL386" s="23">
        <f>20/12</f>
        <v>1.6666666666666667</v>
      </c>
    </row>
    <row r="387" spans="1:41">
      <c r="A387" s="15">
        <v>41194</v>
      </c>
      <c r="B387" t="s">
        <v>58</v>
      </c>
      <c r="C387">
        <v>24</v>
      </c>
      <c r="D387" t="s">
        <v>138</v>
      </c>
      <c r="E387" s="76" t="s">
        <v>135</v>
      </c>
      <c r="F387">
        <v>2012</v>
      </c>
      <c r="G387" t="s">
        <v>16</v>
      </c>
      <c r="H387">
        <v>376</v>
      </c>
      <c r="AJ387">
        <f>SUM(H387:AI387)</f>
        <v>376</v>
      </c>
      <c r="AK387">
        <v>1</v>
      </c>
      <c r="AL387" s="23">
        <f>700/376</f>
        <v>1.8617021276595744</v>
      </c>
    </row>
    <row r="388" spans="1:41">
      <c r="A388" s="15">
        <v>41556</v>
      </c>
      <c r="B388" t="s">
        <v>61</v>
      </c>
      <c r="C388">
        <v>24</v>
      </c>
      <c r="D388" t="s">
        <v>55</v>
      </c>
      <c r="E388" t="s">
        <v>129</v>
      </c>
      <c r="F388">
        <v>2013</v>
      </c>
      <c r="G388" t="s">
        <v>16</v>
      </c>
      <c r="H388">
        <v>94</v>
      </c>
      <c r="L388"/>
      <c r="M388"/>
      <c r="AJ388">
        <v>94</v>
      </c>
      <c r="AK388">
        <v>1</v>
      </c>
      <c r="AL388">
        <v>1.5</v>
      </c>
    </row>
    <row r="389" spans="1:41">
      <c r="A389" s="15">
        <v>41556</v>
      </c>
      <c r="B389" t="s">
        <v>62</v>
      </c>
      <c r="C389">
        <v>24</v>
      </c>
      <c r="D389" t="s">
        <v>56</v>
      </c>
      <c r="E389" t="s">
        <v>129</v>
      </c>
      <c r="F389">
        <v>2013</v>
      </c>
      <c r="G389" t="s">
        <v>16</v>
      </c>
      <c r="H389">
        <v>132</v>
      </c>
      <c r="L389"/>
      <c r="M389"/>
      <c r="AF389">
        <v>1</v>
      </c>
      <c r="AG389">
        <v>1</v>
      </c>
      <c r="AJ389">
        <v>134</v>
      </c>
      <c r="AK389">
        <v>3</v>
      </c>
      <c r="AL389">
        <v>2.2000000000000002</v>
      </c>
    </row>
    <row r="390" spans="1:41">
      <c r="A390" s="15">
        <v>41556</v>
      </c>
      <c r="B390" t="s">
        <v>59</v>
      </c>
      <c r="C390">
        <v>24</v>
      </c>
      <c r="D390" t="s">
        <v>138</v>
      </c>
      <c r="E390" s="76" t="s">
        <v>135</v>
      </c>
      <c r="F390">
        <v>2013</v>
      </c>
      <c r="G390" t="s">
        <v>16</v>
      </c>
      <c r="H390">
        <v>247</v>
      </c>
      <c r="L390"/>
      <c r="M390"/>
      <c r="AJ390">
        <v>247</v>
      </c>
      <c r="AK390">
        <v>1</v>
      </c>
      <c r="AL390">
        <v>1.3</v>
      </c>
    </row>
    <row r="391" spans="1:41">
      <c r="A391" s="15">
        <v>41556</v>
      </c>
      <c r="B391" t="s">
        <v>143</v>
      </c>
      <c r="C391">
        <v>25.1</v>
      </c>
      <c r="D391" t="s">
        <v>138</v>
      </c>
      <c r="E391" s="76" t="s">
        <v>135</v>
      </c>
      <c r="F391">
        <v>2013</v>
      </c>
      <c r="G391" t="s">
        <v>16</v>
      </c>
      <c r="H391">
        <v>127</v>
      </c>
      <c r="L391"/>
      <c r="M391"/>
      <c r="Y391">
        <v>1</v>
      </c>
      <c r="AJ391">
        <v>128</v>
      </c>
      <c r="AK391">
        <v>2</v>
      </c>
      <c r="AL391">
        <v>2</v>
      </c>
      <c r="AO391" t="s">
        <v>144</v>
      </c>
    </row>
    <row r="392" spans="1:41">
      <c r="A392" s="15">
        <v>41557</v>
      </c>
      <c r="B392" t="s">
        <v>61</v>
      </c>
      <c r="C392">
        <v>24</v>
      </c>
      <c r="D392" t="s">
        <v>55</v>
      </c>
      <c r="E392" t="s">
        <v>129</v>
      </c>
      <c r="F392">
        <v>2013</v>
      </c>
      <c r="G392" t="s">
        <v>16</v>
      </c>
      <c r="H392">
        <v>88</v>
      </c>
      <c r="L392"/>
      <c r="M392"/>
      <c r="AJ392">
        <v>88</v>
      </c>
      <c r="AK392">
        <v>1</v>
      </c>
      <c r="AL392">
        <v>1.7</v>
      </c>
    </row>
    <row r="393" spans="1:41">
      <c r="A393" s="15">
        <v>41557</v>
      </c>
      <c r="B393" t="s">
        <v>62</v>
      </c>
      <c r="C393">
        <v>24</v>
      </c>
      <c r="D393" t="s">
        <v>56</v>
      </c>
      <c r="E393" t="s">
        <v>129</v>
      </c>
      <c r="F393">
        <v>2013</v>
      </c>
      <c r="G393" t="s">
        <v>16</v>
      </c>
      <c r="H393">
        <v>77</v>
      </c>
      <c r="L393"/>
      <c r="M393"/>
      <c r="AJ393">
        <v>77</v>
      </c>
      <c r="AK393">
        <v>1</v>
      </c>
      <c r="AL393">
        <v>2.1</v>
      </c>
    </row>
    <row r="394" spans="1:41">
      <c r="A394" s="15">
        <v>41557</v>
      </c>
      <c r="B394" t="s">
        <v>59</v>
      </c>
      <c r="C394">
        <v>24</v>
      </c>
      <c r="D394" t="s">
        <v>138</v>
      </c>
      <c r="E394" s="76" t="s">
        <v>135</v>
      </c>
      <c r="F394">
        <v>2013</v>
      </c>
      <c r="G394" t="s">
        <v>16</v>
      </c>
      <c r="H394">
        <v>259</v>
      </c>
      <c r="L394"/>
      <c r="M394"/>
      <c r="AJ394">
        <v>259</v>
      </c>
      <c r="AK394">
        <v>1</v>
      </c>
      <c r="AL394">
        <v>1.9</v>
      </c>
    </row>
    <row r="395" spans="1:41">
      <c r="A395" s="15">
        <v>41557</v>
      </c>
      <c r="B395" t="s">
        <v>58</v>
      </c>
      <c r="C395">
        <v>25.25</v>
      </c>
      <c r="D395" t="s">
        <v>138</v>
      </c>
      <c r="E395" s="76" t="s">
        <v>135</v>
      </c>
      <c r="F395">
        <v>2013</v>
      </c>
      <c r="G395" t="s">
        <v>16</v>
      </c>
      <c r="H395">
        <v>67</v>
      </c>
      <c r="L395"/>
      <c r="M395"/>
      <c r="AJ395">
        <v>67</v>
      </c>
      <c r="AK395">
        <v>1</v>
      </c>
      <c r="AL395">
        <v>1.7</v>
      </c>
    </row>
    <row r="396" spans="1:41">
      <c r="A396" s="15">
        <v>41571</v>
      </c>
      <c r="B396" t="s">
        <v>61</v>
      </c>
      <c r="C396">
        <v>25</v>
      </c>
      <c r="D396" t="s">
        <v>55</v>
      </c>
      <c r="E396" t="s">
        <v>129</v>
      </c>
      <c r="F396">
        <v>2013</v>
      </c>
      <c r="G396" t="s">
        <v>16</v>
      </c>
      <c r="H396">
        <v>44</v>
      </c>
      <c r="L396"/>
      <c r="M396"/>
      <c r="AJ396">
        <v>44</v>
      </c>
      <c r="AK396">
        <v>1</v>
      </c>
      <c r="AL396">
        <v>1.36</v>
      </c>
    </row>
    <row r="397" spans="1:41">
      <c r="A397" s="15">
        <v>41571</v>
      </c>
      <c r="B397" t="s">
        <v>62</v>
      </c>
      <c r="C397">
        <v>25</v>
      </c>
      <c r="D397" t="s">
        <v>56</v>
      </c>
      <c r="E397" t="s">
        <v>129</v>
      </c>
      <c r="F397">
        <v>2013</v>
      </c>
      <c r="G397" t="s">
        <v>16</v>
      </c>
      <c r="H397">
        <v>115</v>
      </c>
      <c r="L397"/>
      <c r="M397"/>
      <c r="AJ397">
        <v>115</v>
      </c>
      <c r="AK397">
        <v>1</v>
      </c>
      <c r="AL397">
        <v>1.3</v>
      </c>
    </row>
    <row r="398" spans="1:41">
      <c r="A398" s="15">
        <v>41571</v>
      </c>
      <c r="B398" t="s">
        <v>58</v>
      </c>
      <c r="C398">
        <v>25</v>
      </c>
      <c r="D398" t="s">
        <v>138</v>
      </c>
      <c r="E398" s="76" t="s">
        <v>135</v>
      </c>
      <c r="F398">
        <v>2013</v>
      </c>
      <c r="G398" t="s">
        <v>16</v>
      </c>
      <c r="H398">
        <v>15</v>
      </c>
      <c r="L398"/>
      <c r="M398"/>
      <c r="AJ398">
        <v>15</v>
      </c>
      <c r="AK398">
        <v>1</v>
      </c>
      <c r="AL398">
        <v>1.3</v>
      </c>
    </row>
    <row r="399" spans="1:41">
      <c r="A399" s="15">
        <v>41926</v>
      </c>
      <c r="B399" t="s">
        <v>61</v>
      </c>
      <c r="C399">
        <v>23.5</v>
      </c>
      <c r="D399" t="s">
        <v>55</v>
      </c>
      <c r="E399" t="s">
        <v>129</v>
      </c>
      <c r="F399">
        <v>2014</v>
      </c>
      <c r="G399" t="s">
        <v>16</v>
      </c>
      <c r="H399">
        <v>29</v>
      </c>
      <c r="R399">
        <v>9</v>
      </c>
      <c r="AJ399">
        <f t="shared" ref="AJ399:AJ411" si="12">SUM(H399:AI399)</f>
        <v>38</v>
      </c>
      <c r="AK399">
        <v>2</v>
      </c>
      <c r="AL399" s="23">
        <f>55/29</f>
        <v>1.896551724137931</v>
      </c>
    </row>
    <row r="400" spans="1:41">
      <c r="A400" s="15">
        <v>41926</v>
      </c>
      <c r="B400" t="s">
        <v>62</v>
      </c>
      <c r="C400">
        <v>23.5</v>
      </c>
      <c r="D400" t="s">
        <v>56</v>
      </c>
      <c r="E400" t="s">
        <v>129</v>
      </c>
      <c r="F400">
        <v>2014</v>
      </c>
      <c r="G400" t="s">
        <v>16</v>
      </c>
      <c r="H400">
        <v>45</v>
      </c>
      <c r="AJ400">
        <f t="shared" si="12"/>
        <v>45</v>
      </c>
      <c r="AK400">
        <v>1</v>
      </c>
      <c r="AL400" s="23">
        <f>80/45</f>
        <v>1.7777777777777777</v>
      </c>
    </row>
    <row r="401" spans="1:38">
      <c r="A401" s="15">
        <v>41926</v>
      </c>
      <c r="B401" t="s">
        <v>59</v>
      </c>
      <c r="C401">
        <v>23.5</v>
      </c>
      <c r="D401" t="s">
        <v>138</v>
      </c>
      <c r="E401" s="76" t="s">
        <v>135</v>
      </c>
      <c r="F401">
        <v>2014</v>
      </c>
      <c r="G401" t="s">
        <v>16</v>
      </c>
      <c r="AJ401">
        <f t="shared" si="12"/>
        <v>0</v>
      </c>
      <c r="AK401">
        <v>0</v>
      </c>
    </row>
    <row r="402" spans="1:38">
      <c r="A402" s="15">
        <v>41926</v>
      </c>
      <c r="B402" t="s">
        <v>3</v>
      </c>
      <c r="C402">
        <v>23.5</v>
      </c>
      <c r="D402" t="s">
        <v>57</v>
      </c>
      <c r="E402" s="76" t="s">
        <v>135</v>
      </c>
      <c r="F402">
        <v>2014</v>
      </c>
      <c r="G402" t="s">
        <v>16</v>
      </c>
      <c r="H402">
        <v>50</v>
      </c>
      <c r="AJ402">
        <f t="shared" si="12"/>
        <v>50</v>
      </c>
      <c r="AK402">
        <v>1</v>
      </c>
      <c r="AL402" s="23">
        <f>75/50</f>
        <v>1.5</v>
      </c>
    </row>
    <row r="403" spans="1:38">
      <c r="A403" s="15">
        <v>41927</v>
      </c>
      <c r="B403" t="s">
        <v>61</v>
      </c>
      <c r="C403">
        <v>24</v>
      </c>
      <c r="D403" t="s">
        <v>55</v>
      </c>
      <c r="E403" t="s">
        <v>129</v>
      </c>
      <c r="F403">
        <v>2014</v>
      </c>
      <c r="G403" t="s">
        <v>16</v>
      </c>
      <c r="H403">
        <v>9</v>
      </c>
      <c r="AJ403">
        <f t="shared" si="12"/>
        <v>9</v>
      </c>
      <c r="AK403">
        <v>1</v>
      </c>
      <c r="AL403" s="23">
        <f>55/9</f>
        <v>6.1111111111111107</v>
      </c>
    </row>
    <row r="404" spans="1:38">
      <c r="A404" s="15">
        <v>41927</v>
      </c>
      <c r="B404" t="s">
        <v>62</v>
      </c>
      <c r="C404">
        <v>24</v>
      </c>
      <c r="D404" t="s">
        <v>56</v>
      </c>
      <c r="E404" t="s">
        <v>129</v>
      </c>
      <c r="F404">
        <v>2014</v>
      </c>
      <c r="G404" t="s">
        <v>16</v>
      </c>
      <c r="H404">
        <v>8</v>
      </c>
      <c r="AJ404">
        <f t="shared" si="12"/>
        <v>8</v>
      </c>
      <c r="AK404">
        <v>1</v>
      </c>
      <c r="AL404" s="23">
        <f>12/8</f>
        <v>1.5</v>
      </c>
    </row>
    <row r="405" spans="1:38">
      <c r="A405" s="15">
        <v>41927</v>
      </c>
      <c r="B405" t="s">
        <v>58</v>
      </c>
      <c r="C405">
        <v>24</v>
      </c>
      <c r="D405" t="s">
        <v>57</v>
      </c>
      <c r="E405" s="76" t="s">
        <v>135</v>
      </c>
      <c r="F405">
        <v>2014</v>
      </c>
      <c r="G405" t="s">
        <v>16</v>
      </c>
      <c r="K405">
        <v>3</v>
      </c>
      <c r="AJ405">
        <f t="shared" si="12"/>
        <v>3</v>
      </c>
      <c r="AK405">
        <v>1</v>
      </c>
      <c r="AL405" s="23">
        <f>3/3</f>
        <v>1</v>
      </c>
    </row>
    <row r="406" spans="1:38">
      <c r="A406" s="15">
        <v>41928</v>
      </c>
      <c r="B406" t="s">
        <v>61</v>
      </c>
      <c r="C406">
        <v>24.25</v>
      </c>
      <c r="D406" t="s">
        <v>55</v>
      </c>
      <c r="E406" t="s">
        <v>129</v>
      </c>
      <c r="F406">
        <v>2014</v>
      </c>
      <c r="G406" t="s">
        <v>16</v>
      </c>
      <c r="H406">
        <v>88</v>
      </c>
      <c r="AJ406">
        <f t="shared" si="12"/>
        <v>88</v>
      </c>
      <c r="AK406">
        <v>1</v>
      </c>
      <c r="AL406" s="23">
        <f>170/88</f>
        <v>1.9318181818181819</v>
      </c>
    </row>
    <row r="407" spans="1:38">
      <c r="A407" s="15">
        <v>41928</v>
      </c>
      <c r="B407" t="s">
        <v>62</v>
      </c>
      <c r="C407">
        <v>24.25</v>
      </c>
      <c r="D407" t="s">
        <v>56</v>
      </c>
      <c r="E407" t="s">
        <v>129</v>
      </c>
      <c r="F407">
        <v>2014</v>
      </c>
      <c r="G407" t="s">
        <v>16</v>
      </c>
      <c r="H407">
        <v>42</v>
      </c>
      <c r="AJ407">
        <f t="shared" si="12"/>
        <v>42</v>
      </c>
      <c r="AK407">
        <v>1</v>
      </c>
      <c r="AL407" s="23">
        <f>75/42</f>
        <v>1.7857142857142858</v>
      </c>
    </row>
    <row r="408" spans="1:38">
      <c r="A408" s="15">
        <v>41928</v>
      </c>
      <c r="B408" t="s">
        <v>3</v>
      </c>
      <c r="C408">
        <v>24.25</v>
      </c>
      <c r="D408" t="s">
        <v>57</v>
      </c>
      <c r="E408" s="76" t="s">
        <v>135</v>
      </c>
      <c r="F408">
        <v>2014</v>
      </c>
      <c r="G408" t="s">
        <v>16</v>
      </c>
      <c r="H408">
        <v>187</v>
      </c>
      <c r="AJ408">
        <f t="shared" si="12"/>
        <v>187</v>
      </c>
      <c r="AK408">
        <v>1</v>
      </c>
      <c r="AL408" s="23">
        <f>315/187</f>
        <v>1.6844919786096257</v>
      </c>
    </row>
    <row r="409" spans="1:38">
      <c r="A409" s="15">
        <v>41929</v>
      </c>
      <c r="B409" t="s">
        <v>61</v>
      </c>
      <c r="C409">
        <v>23.25</v>
      </c>
      <c r="D409" t="s">
        <v>55</v>
      </c>
      <c r="E409" t="s">
        <v>129</v>
      </c>
      <c r="F409">
        <v>2014</v>
      </c>
      <c r="G409" t="s">
        <v>16</v>
      </c>
      <c r="H409">
        <v>84</v>
      </c>
      <c r="AJ409">
        <f t="shared" si="12"/>
        <v>84</v>
      </c>
      <c r="AK409">
        <v>1</v>
      </c>
      <c r="AL409" s="23">
        <f>220/84</f>
        <v>2.6190476190476191</v>
      </c>
    </row>
    <row r="410" spans="1:38">
      <c r="A410" s="15">
        <v>41929</v>
      </c>
      <c r="B410" t="s">
        <v>62</v>
      </c>
      <c r="C410">
        <v>23.25</v>
      </c>
      <c r="D410" t="s">
        <v>56</v>
      </c>
      <c r="E410" t="s">
        <v>129</v>
      </c>
      <c r="F410">
        <v>2014</v>
      </c>
      <c r="G410" t="s">
        <v>16</v>
      </c>
      <c r="H410">
        <v>60</v>
      </c>
      <c r="AJ410">
        <f t="shared" si="12"/>
        <v>60</v>
      </c>
      <c r="AK410">
        <v>1</v>
      </c>
      <c r="AL410" s="23">
        <f>95/60</f>
        <v>1.5833333333333333</v>
      </c>
    </row>
    <row r="411" spans="1:38">
      <c r="A411" s="15">
        <v>41929</v>
      </c>
      <c r="B411" t="s">
        <v>3</v>
      </c>
      <c r="C411">
        <v>23.25</v>
      </c>
      <c r="D411" t="s">
        <v>57</v>
      </c>
      <c r="E411" s="76" t="s">
        <v>135</v>
      </c>
      <c r="F411">
        <v>2014</v>
      </c>
      <c r="G411" t="s">
        <v>16</v>
      </c>
      <c r="H411">
        <v>453</v>
      </c>
      <c r="AJ411">
        <f t="shared" si="12"/>
        <v>453</v>
      </c>
      <c r="AK411">
        <v>1</v>
      </c>
      <c r="AL411" s="23">
        <f>890/453</f>
        <v>1.9646799116997793</v>
      </c>
    </row>
  </sheetData>
  <phoneticPr fontId="0" type="noConversion"/>
  <printOptions gridLines="1"/>
  <pageMargins left="0.75" right="0.75" top="1" bottom="1" header="0.5" footer="0.5"/>
  <pageSetup orientation="landscape" horizontalDpi="36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2"/>
  <sheetViews>
    <sheetView workbookViewId="0">
      <selection sqref="A1:AN2"/>
    </sheetView>
  </sheetViews>
  <sheetFormatPr defaultRowHeight="12.75"/>
  <cols>
    <col min="1" max="1" width="10.140625" bestFit="1" customWidth="1"/>
    <col min="2" max="2" width="7.42578125" bestFit="1" customWidth="1"/>
    <col min="3" max="3" width="10.85546875" bestFit="1" customWidth="1"/>
    <col min="4" max="4" width="6.28515625" bestFit="1" customWidth="1"/>
    <col min="5" max="5" width="10.28515625" bestFit="1" customWidth="1"/>
    <col min="6" max="6" width="5.140625" bestFit="1" customWidth="1"/>
    <col min="7" max="7" width="7.7109375" bestFit="1" customWidth="1"/>
    <col min="8" max="8" width="12.140625" bestFit="1" customWidth="1"/>
    <col min="9" max="11" width="19.42578125" bestFit="1" customWidth="1"/>
    <col min="12" max="12" width="11.42578125" bestFit="1" customWidth="1"/>
    <col min="13" max="13" width="14.28515625" bestFit="1" customWidth="1"/>
    <col min="14" max="14" width="16.7109375" bestFit="1" customWidth="1"/>
    <col min="15" max="15" width="17.85546875" bestFit="1" customWidth="1"/>
    <col min="16" max="16" width="16.28515625" bestFit="1" customWidth="1"/>
    <col min="17" max="17" width="13.28515625" bestFit="1" customWidth="1"/>
    <col min="18" max="18" width="10" bestFit="1" customWidth="1"/>
    <col min="19" max="19" width="3.85546875" bestFit="1" customWidth="1"/>
    <col min="20" max="20" width="12.42578125" bestFit="1" customWidth="1"/>
    <col min="21" max="21" width="9.28515625" bestFit="1" customWidth="1"/>
    <col min="22" max="22" width="12" bestFit="1" customWidth="1"/>
    <col min="23" max="23" width="9.85546875" bestFit="1" customWidth="1"/>
    <col min="24" max="24" width="9.42578125" bestFit="1" customWidth="1"/>
    <col min="25" max="25" width="11.42578125" bestFit="1" customWidth="1"/>
    <col min="26" max="26" width="5.85546875" bestFit="1" customWidth="1"/>
    <col min="27" max="27" width="19.28515625" bestFit="1" customWidth="1"/>
    <col min="28" max="28" width="18.85546875" bestFit="1" customWidth="1"/>
    <col min="29" max="29" width="9.7109375" bestFit="1" customWidth="1"/>
    <col min="30" max="30" width="10.140625" bestFit="1" customWidth="1"/>
    <col min="31" max="31" width="14.5703125" bestFit="1" customWidth="1"/>
    <col min="32" max="32" width="12.42578125" bestFit="1" customWidth="1"/>
    <col min="33" max="33" width="10.42578125" bestFit="1" customWidth="1"/>
    <col min="34" max="34" width="7" bestFit="1" customWidth="1"/>
    <col min="35" max="35" width="6.85546875" bestFit="1" customWidth="1"/>
    <col min="36" max="36" width="22.7109375" bestFit="1" customWidth="1"/>
    <col min="37" max="37" width="23.140625" bestFit="1" customWidth="1"/>
    <col min="38" max="38" width="16.42578125" bestFit="1" customWidth="1"/>
    <col min="39" max="39" width="8" bestFit="1" customWidth="1"/>
    <col min="40" max="40" width="16.85546875" bestFit="1" customWidth="1"/>
  </cols>
  <sheetData>
    <row r="1" spans="1:40" ht="13.5" thickBot="1">
      <c r="A1" s="75" t="s">
        <v>26</v>
      </c>
      <c r="B1" s="75" t="s">
        <v>27</v>
      </c>
      <c r="C1" s="75" t="s">
        <v>28</v>
      </c>
      <c r="D1" s="75" t="s">
        <v>29</v>
      </c>
      <c r="E1" s="75" t="s">
        <v>113</v>
      </c>
      <c r="F1" s="75" t="s">
        <v>70</v>
      </c>
      <c r="G1" s="75" t="s">
        <v>14</v>
      </c>
      <c r="H1" s="75" t="s">
        <v>30</v>
      </c>
      <c r="I1" s="75" t="s">
        <v>31</v>
      </c>
      <c r="J1" s="75" t="s">
        <v>32</v>
      </c>
      <c r="K1" s="75" t="s">
        <v>33</v>
      </c>
      <c r="L1" s="75" t="s">
        <v>34</v>
      </c>
      <c r="M1" s="75" t="s">
        <v>35</v>
      </c>
      <c r="N1" s="75" t="s">
        <v>36</v>
      </c>
      <c r="O1" s="75" t="s">
        <v>37</v>
      </c>
      <c r="P1" s="75" t="s">
        <v>38</v>
      </c>
      <c r="Q1" s="75" t="s">
        <v>39</v>
      </c>
      <c r="R1" s="75" t="s">
        <v>40</v>
      </c>
      <c r="S1" s="75" t="s">
        <v>41</v>
      </c>
      <c r="T1" s="75" t="s">
        <v>42</v>
      </c>
      <c r="U1" s="75" t="s">
        <v>17</v>
      </c>
      <c r="V1" s="75" t="s">
        <v>43</v>
      </c>
      <c r="W1" s="75" t="s">
        <v>44</v>
      </c>
      <c r="X1" s="75" t="s">
        <v>125</v>
      </c>
      <c r="Y1" s="75" t="s">
        <v>45</v>
      </c>
      <c r="Z1" s="75" t="s">
        <v>46</v>
      </c>
      <c r="AA1" s="75" t="s">
        <v>72</v>
      </c>
      <c r="AB1" s="75" t="s">
        <v>73</v>
      </c>
      <c r="AC1" s="75" t="s">
        <v>47</v>
      </c>
      <c r="AD1" s="75" t="s">
        <v>48</v>
      </c>
      <c r="AE1" s="75" t="s">
        <v>49</v>
      </c>
      <c r="AF1" s="75" t="s">
        <v>50</v>
      </c>
      <c r="AG1" s="75" t="s">
        <v>13</v>
      </c>
      <c r="AH1" s="75" t="s">
        <v>71</v>
      </c>
      <c r="AI1" s="75" t="s">
        <v>51</v>
      </c>
      <c r="AJ1" s="75" t="s">
        <v>52</v>
      </c>
      <c r="AK1" s="75" t="s">
        <v>53</v>
      </c>
      <c r="AL1" s="75" t="s">
        <v>85</v>
      </c>
      <c r="AM1" s="75" t="s">
        <v>86</v>
      </c>
      <c r="AN1" s="75" t="s">
        <v>87</v>
      </c>
    </row>
    <row r="2" spans="1:40" ht="13.5" thickBot="1">
      <c r="A2" s="70">
        <v>40465</v>
      </c>
      <c r="B2" s="71" t="s">
        <v>127</v>
      </c>
      <c r="C2" s="71">
        <v>24</v>
      </c>
      <c r="D2" s="71" t="s">
        <v>57</v>
      </c>
      <c r="E2" s="71" t="s">
        <v>129</v>
      </c>
      <c r="F2" s="71">
        <v>2010</v>
      </c>
      <c r="G2" s="71" t="s">
        <v>16</v>
      </c>
      <c r="H2" s="71">
        <v>35</v>
      </c>
      <c r="I2" s="71">
        <v>0</v>
      </c>
      <c r="J2" s="71">
        <v>0</v>
      </c>
      <c r="K2" s="71">
        <v>0</v>
      </c>
      <c r="L2" s="71">
        <v>0</v>
      </c>
      <c r="M2" s="71">
        <v>0</v>
      </c>
      <c r="N2" s="71">
        <v>0</v>
      </c>
      <c r="O2" s="71">
        <v>0</v>
      </c>
      <c r="P2" s="71">
        <v>0</v>
      </c>
      <c r="Q2" s="71">
        <v>0</v>
      </c>
      <c r="R2" s="71">
        <v>0</v>
      </c>
      <c r="S2" s="71">
        <v>0</v>
      </c>
      <c r="T2" s="71">
        <v>0</v>
      </c>
      <c r="U2" s="71">
        <v>0</v>
      </c>
      <c r="V2" s="71">
        <v>0</v>
      </c>
      <c r="W2" s="71">
        <v>0</v>
      </c>
      <c r="X2" s="71">
        <v>0</v>
      </c>
      <c r="Y2" s="71">
        <v>0</v>
      </c>
      <c r="Z2" s="71">
        <v>0</v>
      </c>
      <c r="AA2" s="71">
        <v>0</v>
      </c>
      <c r="AB2" s="71">
        <v>0</v>
      </c>
      <c r="AC2" s="71">
        <v>0</v>
      </c>
      <c r="AD2" s="71">
        <v>0</v>
      </c>
      <c r="AE2" s="71">
        <v>0</v>
      </c>
      <c r="AF2" s="71">
        <v>0</v>
      </c>
      <c r="AG2" s="71">
        <v>0</v>
      </c>
      <c r="AH2" s="71">
        <v>0</v>
      </c>
      <c r="AI2" s="71">
        <v>0</v>
      </c>
      <c r="AJ2" s="71">
        <v>35</v>
      </c>
      <c r="AK2" s="71">
        <v>1</v>
      </c>
      <c r="AL2" s="71">
        <v>2.14</v>
      </c>
      <c r="AM2" s="71"/>
      <c r="AN2" s="7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4:AL239"/>
  <sheetViews>
    <sheetView topLeftCell="A128" zoomScale="60" zoomScaleNormal="60" workbookViewId="0">
      <selection activeCell="P36" sqref="P36"/>
    </sheetView>
  </sheetViews>
  <sheetFormatPr defaultRowHeight="12.75"/>
  <cols>
    <col min="1" max="1" width="21.7109375" customWidth="1"/>
    <col min="2" max="4" width="15.5703125" customWidth="1"/>
    <col min="5" max="16" width="13.28515625" customWidth="1"/>
    <col min="17" max="17" width="7.5703125" customWidth="1"/>
    <col min="18" max="20" width="15.5703125" customWidth="1"/>
    <col min="21" max="21" width="13.28515625" customWidth="1"/>
    <col min="22" max="24" width="20.5703125" bestFit="1" customWidth="1"/>
    <col min="25" max="25" width="27.140625" bestFit="1" customWidth="1"/>
    <col min="26" max="28" width="18.140625" customWidth="1"/>
    <col min="29" max="29" width="18.140625" bestFit="1" customWidth="1"/>
    <col min="30" max="30" width="11.28515625" customWidth="1"/>
    <col min="31" max="31" width="11.28515625" bestFit="1" customWidth="1"/>
  </cols>
  <sheetData>
    <row r="4" spans="1:11">
      <c r="A4" s="25" t="s">
        <v>9</v>
      </c>
      <c r="B4" s="25" t="s">
        <v>29</v>
      </c>
      <c r="C4" s="21"/>
      <c r="D4" s="21"/>
      <c r="E4" s="21"/>
      <c r="F4" s="34"/>
      <c r="G4" t="str">
        <f>'pivot charts'!A4</f>
        <v>Average of Mummichog</v>
      </c>
      <c r="H4" t="str">
        <f>'pivot charts'!B4</f>
        <v>Area</v>
      </c>
      <c r="I4">
        <f>'pivot charts'!C4</f>
        <v>0</v>
      </c>
      <c r="J4">
        <f>'pivot charts'!D4</f>
        <v>0</v>
      </c>
      <c r="K4">
        <f>'pivot charts'!E4</f>
        <v>0</v>
      </c>
    </row>
    <row r="5" spans="1:11">
      <c r="A5" s="25" t="s">
        <v>14</v>
      </c>
      <c r="B5" s="16" t="s">
        <v>57</v>
      </c>
      <c r="C5" s="32" t="s">
        <v>55</v>
      </c>
      <c r="D5" s="32" t="s">
        <v>56</v>
      </c>
      <c r="E5" s="32" t="s">
        <v>138</v>
      </c>
      <c r="F5" s="17" t="s">
        <v>88</v>
      </c>
      <c r="G5" t="str">
        <f>'pivot charts'!A5</f>
        <v>Season</v>
      </c>
      <c r="H5" t="str">
        <f>'pivot charts'!B5</f>
        <v>Panne</v>
      </c>
      <c r="I5" t="str">
        <f>'pivot charts'!C5</f>
        <v>River downstream</v>
      </c>
      <c r="J5" t="str">
        <f>'pivot charts'!D5</f>
        <v>River upstream</v>
      </c>
      <c r="K5" t="str">
        <f>'pivot charts'!E5</f>
        <v>Constructed Panne</v>
      </c>
    </row>
    <row r="6" spans="1:11">
      <c r="A6" s="16" t="s">
        <v>16</v>
      </c>
      <c r="B6" s="38">
        <v>207.1</v>
      </c>
      <c r="C6" s="39">
        <v>67.175257731958766</v>
      </c>
      <c r="D6" s="39">
        <v>35.883333333333333</v>
      </c>
      <c r="E6" s="39">
        <v>161.41025641025641</v>
      </c>
      <c r="F6" s="40">
        <v>104.31338028169014</v>
      </c>
      <c r="G6" t="str">
        <f>'pivot charts'!A6</f>
        <v>Fall</v>
      </c>
      <c r="H6" s="40">
        <f>'pivot charts'!B6</f>
        <v>207.1</v>
      </c>
      <c r="I6" s="40">
        <f>'pivot charts'!C6</f>
        <v>67.175257731958766</v>
      </c>
      <c r="J6" s="40">
        <f>'pivot charts'!D6</f>
        <v>35.883333333333333</v>
      </c>
      <c r="K6" s="40">
        <f>'pivot charts'!E6</f>
        <v>161.41025641025641</v>
      </c>
    </row>
    <row r="7" spans="1:11">
      <c r="A7" s="19" t="s">
        <v>15</v>
      </c>
      <c r="B7" s="41"/>
      <c r="C7" s="8">
        <v>51.409090909090907</v>
      </c>
      <c r="D7" s="8">
        <v>16.904761904761905</v>
      </c>
      <c r="E7" s="8">
        <v>110.75</v>
      </c>
      <c r="F7" s="42">
        <v>68.715596330275233</v>
      </c>
      <c r="G7" t="str">
        <f>'pivot charts'!A7</f>
        <v>Spring</v>
      </c>
      <c r="H7" s="40">
        <f>'pivot charts'!B7</f>
        <v>0</v>
      </c>
      <c r="I7" s="40">
        <f>'pivot charts'!C7</f>
        <v>51.409090909090907</v>
      </c>
      <c r="J7" s="40">
        <f>'pivot charts'!D7</f>
        <v>16.904761904761905</v>
      </c>
      <c r="K7" s="40">
        <f>'pivot charts'!E7</f>
        <v>110.75</v>
      </c>
    </row>
    <row r="8" spans="1:11">
      <c r="A8" s="19" t="s">
        <v>108</v>
      </c>
      <c r="B8" s="41">
        <v>0</v>
      </c>
      <c r="C8" s="8"/>
      <c r="D8" s="8"/>
      <c r="E8" s="8"/>
      <c r="F8" s="42">
        <v>0</v>
      </c>
      <c r="G8" t="str">
        <f>'pivot charts'!A8</f>
        <v>Summer</v>
      </c>
      <c r="H8" s="40">
        <f>'pivot charts'!B8</f>
        <v>0</v>
      </c>
      <c r="I8" s="40">
        <f>'pivot charts'!C8</f>
        <v>0</v>
      </c>
      <c r="J8" s="40">
        <f>'pivot charts'!D8</f>
        <v>0</v>
      </c>
      <c r="K8" s="40">
        <f>'pivot charts'!E8</f>
        <v>0</v>
      </c>
    </row>
    <row r="9" spans="1:11">
      <c r="A9" s="22" t="s">
        <v>88</v>
      </c>
      <c r="B9" s="43">
        <v>188.27272727272728</v>
      </c>
      <c r="C9" s="44">
        <v>62.255319148936174</v>
      </c>
      <c r="D9" s="44">
        <v>30.962962962962962</v>
      </c>
      <c r="E9" s="44">
        <v>147.56521739130434</v>
      </c>
      <c r="F9" s="45">
        <v>94.200507614213194</v>
      </c>
    </row>
    <row r="10" spans="1:11">
      <c r="A10" s="66"/>
      <c r="B10" s="67"/>
      <c r="C10" s="67"/>
      <c r="D10" s="67"/>
      <c r="E10" s="67"/>
    </row>
    <row r="11" spans="1:11">
      <c r="A11" s="66"/>
      <c r="B11" s="67"/>
      <c r="C11" s="67"/>
      <c r="D11" s="67"/>
      <c r="E11" s="67"/>
    </row>
    <row r="12" spans="1:11">
      <c r="A12" s="66"/>
      <c r="B12" s="67"/>
      <c r="C12" s="67"/>
      <c r="D12" s="67"/>
      <c r="E12" s="67"/>
    </row>
    <row r="14" spans="1:11">
      <c r="A14" s="25" t="s">
        <v>89</v>
      </c>
      <c r="B14" s="25" t="s">
        <v>29</v>
      </c>
      <c r="C14" s="21"/>
      <c r="D14" s="21"/>
      <c r="E14" s="21"/>
      <c r="F14" s="34"/>
      <c r="G14" t="str">
        <f>'pivot charts'!A14</f>
        <v>Average of Vol. Mummichog</v>
      </c>
      <c r="H14" t="str">
        <f>'pivot charts'!B14</f>
        <v>Area</v>
      </c>
      <c r="I14">
        <f>'pivot charts'!C14</f>
        <v>0</v>
      </c>
      <c r="J14">
        <f>'pivot charts'!D14</f>
        <v>0</v>
      </c>
      <c r="K14">
        <f>'pivot charts'!E14</f>
        <v>0</v>
      </c>
    </row>
    <row r="15" spans="1:11">
      <c r="A15" s="25" t="s">
        <v>14</v>
      </c>
      <c r="B15" s="16" t="s">
        <v>57</v>
      </c>
      <c r="C15" s="32" t="s">
        <v>55</v>
      </c>
      <c r="D15" s="32" t="s">
        <v>56</v>
      </c>
      <c r="E15" s="32" t="s">
        <v>138</v>
      </c>
      <c r="F15" s="17" t="s">
        <v>88</v>
      </c>
      <c r="G15" t="str">
        <f>'pivot charts'!A15</f>
        <v>Season</v>
      </c>
      <c r="H15" t="str">
        <f>'pivot charts'!B15</f>
        <v>Panne</v>
      </c>
      <c r="I15" t="str">
        <f>'pivot charts'!C15</f>
        <v>River downstream</v>
      </c>
      <c r="J15" t="str">
        <f>'pivot charts'!D15</f>
        <v>River upstream</v>
      </c>
      <c r="K15" t="str">
        <f>'pivot charts'!E15</f>
        <v>Constructed Panne</v>
      </c>
    </row>
    <row r="16" spans="1:11">
      <c r="A16" s="16" t="s">
        <v>16</v>
      </c>
      <c r="B16" s="46">
        <v>2.0339211860293025</v>
      </c>
      <c r="C16" s="47">
        <v>2.1486536257399633</v>
      </c>
      <c r="D16" s="47">
        <v>1.8806078643578643</v>
      </c>
      <c r="E16" s="47">
        <v>2.200450642573212</v>
      </c>
      <c r="F16" s="48">
        <v>2.1164995795200974</v>
      </c>
      <c r="G16" t="str">
        <f>'pivot charts'!A16</f>
        <v>Fall</v>
      </c>
      <c r="H16" s="48">
        <f>'pivot charts'!B16</f>
        <v>2.0339211860293025</v>
      </c>
      <c r="I16" s="48">
        <f>'pivot charts'!C16</f>
        <v>2.1486536257399633</v>
      </c>
      <c r="J16" s="48">
        <f>'pivot charts'!D16</f>
        <v>1.8806078643578643</v>
      </c>
      <c r="K16" s="48">
        <f>'pivot charts'!E16</f>
        <v>2.200450642573212</v>
      </c>
    </row>
    <row r="17" spans="1:22">
      <c r="A17" s="19" t="s">
        <v>15</v>
      </c>
      <c r="B17" s="49"/>
      <c r="C17" s="23">
        <v>2.8926216925796107</v>
      </c>
      <c r="D17" s="23">
        <v>2.6640600176522509</v>
      </c>
      <c r="E17" s="23">
        <v>2.7178863329667644</v>
      </c>
      <c r="F17" s="50">
        <v>2.7870084099932391</v>
      </c>
      <c r="G17" t="str">
        <f>'pivot charts'!A17</f>
        <v>Spring</v>
      </c>
      <c r="H17" s="48">
        <f>'pivot charts'!B17</f>
        <v>0</v>
      </c>
      <c r="I17" s="48">
        <f>'pivot charts'!C17</f>
        <v>2.8926216925796107</v>
      </c>
      <c r="J17" s="48">
        <f>'pivot charts'!D17</f>
        <v>2.6640600176522509</v>
      </c>
      <c r="K17" s="48">
        <f>'pivot charts'!E17</f>
        <v>2.7178863329667644</v>
      </c>
    </row>
    <row r="18" spans="1:22">
      <c r="A18" s="19" t="s">
        <v>108</v>
      </c>
      <c r="B18" s="49"/>
      <c r="C18" s="23"/>
      <c r="D18" s="23"/>
      <c r="E18" s="23"/>
      <c r="F18" s="50"/>
      <c r="G18" t="str">
        <f>'pivot charts'!A18</f>
        <v>Summer</v>
      </c>
      <c r="H18" s="48">
        <f>'pivot charts'!B18</f>
        <v>0</v>
      </c>
      <c r="I18" s="48">
        <f>'pivot charts'!C18</f>
        <v>0</v>
      </c>
      <c r="J18" s="48">
        <f>'pivot charts'!D18</f>
        <v>0</v>
      </c>
      <c r="K18" s="48">
        <f>'pivot charts'!E18</f>
        <v>0</v>
      </c>
    </row>
    <row r="19" spans="1:22">
      <c r="A19" s="22" t="s">
        <v>88</v>
      </c>
      <c r="B19" s="51">
        <v>2.0339211860293025</v>
      </c>
      <c r="C19" s="52">
        <v>2.3437927908126581</v>
      </c>
      <c r="D19" s="52">
        <v>1.9605519616328015</v>
      </c>
      <c r="E19" s="52">
        <v>2.3493529995209967</v>
      </c>
      <c r="F19" s="53">
        <v>2.2778407668526972</v>
      </c>
    </row>
    <row r="20" spans="1:22">
      <c r="A20" s="66"/>
      <c r="B20" s="69"/>
      <c r="C20" s="69"/>
      <c r="D20" s="69"/>
      <c r="E20" s="69"/>
    </row>
    <row r="21" spans="1:22">
      <c r="A21" s="66"/>
      <c r="B21" s="69"/>
      <c r="C21" s="69"/>
      <c r="D21" s="69"/>
      <c r="E21" s="69"/>
    </row>
    <row r="22" spans="1:22">
      <c r="A22" s="66"/>
      <c r="B22" s="69"/>
      <c r="C22" s="69"/>
      <c r="D22" s="69"/>
      <c r="E22" s="69"/>
    </row>
    <row r="23" spans="1:22">
      <c r="A23" s="66"/>
      <c r="B23" s="69"/>
      <c r="C23" s="69"/>
      <c r="D23" s="69"/>
      <c r="E23" s="69"/>
    </row>
    <row r="24" spans="1:22">
      <c r="A24" s="66"/>
      <c r="B24" s="69"/>
      <c r="C24" s="69"/>
      <c r="D24" s="69"/>
      <c r="E24" s="69"/>
      <c r="S24" t="s">
        <v>139</v>
      </c>
    </row>
    <row r="27" spans="1:22">
      <c r="H27" s="66"/>
      <c r="K27">
        <f>'pivot charts'!B29</f>
        <v>0</v>
      </c>
      <c r="S27" t="s">
        <v>134</v>
      </c>
    </row>
    <row r="28" spans="1:22">
      <c r="H28" s="66"/>
      <c r="K28" t="str">
        <f>'pivot charts'!C30</f>
        <v>River downstream</v>
      </c>
      <c r="L28" t="str">
        <f>'pivot charts'!D30</f>
        <v>River upstream</v>
      </c>
      <c r="M28" t="str">
        <f>'pivot charts'!B30</f>
        <v>Panne</v>
      </c>
      <c r="N28" s="32" t="s">
        <v>138</v>
      </c>
      <c r="T28" t="s">
        <v>55</v>
      </c>
      <c r="U28" t="s">
        <v>56</v>
      </c>
      <c r="V28" t="s">
        <v>57</v>
      </c>
    </row>
    <row r="29" spans="1:22">
      <c r="A29" s="16"/>
      <c r="B29" s="16"/>
      <c r="C29" s="21"/>
      <c r="D29" s="21"/>
      <c r="E29" s="21"/>
      <c r="F29" s="34"/>
      <c r="H29" s="68"/>
      <c r="J29" s="16" t="s">
        <v>101</v>
      </c>
      <c r="K29" s="59">
        <f>C31/C51</f>
        <v>0.90780141843971629</v>
      </c>
      <c r="L29" s="59">
        <f>D31/D51</f>
        <v>0.625</v>
      </c>
      <c r="M29" s="59">
        <f>B31/B51</f>
        <v>0.8571428571428571</v>
      </c>
      <c r="N29" s="59">
        <f>GETPIVOTDATA("Count of Mummichog",$A$29,"Area","Constructed Panne")/GETPIVOTDATA("Count of Area",$A$29,"Area","Constructed Panne")</f>
        <v>0.87730061349693256</v>
      </c>
      <c r="S29" s="16" t="s">
        <v>101</v>
      </c>
      <c r="T29" s="59">
        <v>0.90579710144927539</v>
      </c>
      <c r="U29" s="59">
        <v>0.60526315789473684</v>
      </c>
      <c r="V29" s="59">
        <v>0.8571428571428571</v>
      </c>
    </row>
    <row r="30" spans="1:22">
      <c r="A30" s="16"/>
      <c r="B30" s="16" t="s">
        <v>57</v>
      </c>
      <c r="C30" s="32" t="s">
        <v>55</v>
      </c>
      <c r="D30" s="32" t="s">
        <v>56</v>
      </c>
      <c r="E30" s="32" t="s">
        <v>138</v>
      </c>
      <c r="F30" s="17" t="s">
        <v>88</v>
      </c>
      <c r="H30" s="68"/>
      <c r="J30" s="19" t="s">
        <v>102</v>
      </c>
      <c r="K30" s="59">
        <f>C32/C51</f>
        <v>7.0921985815602835E-3</v>
      </c>
      <c r="L30" s="59">
        <f>D32/D51</f>
        <v>0</v>
      </c>
      <c r="M30" s="59">
        <f>B32/B51</f>
        <v>0</v>
      </c>
      <c r="N30" s="59">
        <f>GETPIVOTDATA("Count of  4spined stickleback",$A$29,"Area","Constructed Panne")/GETPIVOTDATA("Count of Area",$A$29,"Area","Constructed Panne")</f>
        <v>6.1349693251533744E-3</v>
      </c>
      <c r="S30" s="19" t="s">
        <v>102</v>
      </c>
      <c r="T30" s="59">
        <v>7.246376811594203E-3</v>
      </c>
      <c r="U30" s="59">
        <v>0</v>
      </c>
      <c r="V30" s="59">
        <v>0</v>
      </c>
    </row>
    <row r="31" spans="1:22">
      <c r="A31" s="16" t="s">
        <v>74</v>
      </c>
      <c r="B31" s="35">
        <v>6</v>
      </c>
      <c r="C31" s="36">
        <v>128</v>
      </c>
      <c r="D31" s="36">
        <v>50</v>
      </c>
      <c r="E31" s="36">
        <v>143</v>
      </c>
      <c r="F31" s="18">
        <v>327</v>
      </c>
      <c r="H31" s="68"/>
      <c r="J31" s="19" t="s">
        <v>103</v>
      </c>
      <c r="K31" s="59">
        <f>C33/C51</f>
        <v>7.0921985815602835E-3</v>
      </c>
      <c r="L31" s="59">
        <f>D33/D51</f>
        <v>2.5000000000000001E-2</v>
      </c>
      <c r="M31" s="59">
        <f>B33/B51</f>
        <v>0</v>
      </c>
      <c r="N31" s="59">
        <f>E33/E51</f>
        <v>7.3619631901840496E-2</v>
      </c>
      <c r="S31" s="19" t="s">
        <v>103</v>
      </c>
      <c r="T31" s="59">
        <v>7.246376811594203E-3</v>
      </c>
      <c r="U31" s="59">
        <v>2.6315789473684209E-2</v>
      </c>
      <c r="V31" s="59">
        <v>0</v>
      </c>
    </row>
    <row r="32" spans="1:22">
      <c r="A32" s="19" t="s">
        <v>75</v>
      </c>
      <c r="B32" s="37"/>
      <c r="C32" s="13">
        <v>1</v>
      </c>
      <c r="D32" s="13"/>
      <c r="E32" s="13">
        <v>1</v>
      </c>
      <c r="F32" s="20">
        <v>2</v>
      </c>
      <c r="H32" s="68"/>
      <c r="J32" s="19" t="s">
        <v>33</v>
      </c>
      <c r="K32" s="59">
        <f>C34/C51</f>
        <v>2.8368794326241134E-2</v>
      </c>
      <c r="L32" s="59">
        <f>D34/D51</f>
        <v>0.05</v>
      </c>
      <c r="M32" s="59">
        <f>B34/B51</f>
        <v>0</v>
      </c>
      <c r="N32" s="59">
        <f>E34/E51</f>
        <v>6.1349693251533742E-2</v>
      </c>
      <c r="S32" s="19" t="s">
        <v>33</v>
      </c>
      <c r="T32" s="59">
        <v>2.8985507246376812E-2</v>
      </c>
      <c r="U32" s="59">
        <v>5.2631578947368418E-2</v>
      </c>
      <c r="V32" s="59">
        <v>0</v>
      </c>
    </row>
    <row r="33" spans="1:22">
      <c r="A33" s="19" t="s">
        <v>76</v>
      </c>
      <c r="B33" s="37"/>
      <c r="C33" s="13">
        <v>1</v>
      </c>
      <c r="D33" s="13">
        <v>2</v>
      </c>
      <c r="E33" s="13">
        <v>12</v>
      </c>
      <c r="F33" s="20">
        <v>15</v>
      </c>
      <c r="H33" s="68"/>
      <c r="J33" s="19" t="s">
        <v>40</v>
      </c>
      <c r="K33" s="59">
        <f>C35/C51</f>
        <v>4.9645390070921988E-2</v>
      </c>
      <c r="L33" s="59">
        <f>D35/D51</f>
        <v>1.2500000000000001E-2</v>
      </c>
      <c r="M33" s="59">
        <f>B35/B51</f>
        <v>0</v>
      </c>
      <c r="N33" s="59">
        <f>E35/E51</f>
        <v>1.2269938650306749E-2</v>
      </c>
      <c r="S33" s="19" t="s">
        <v>40</v>
      </c>
      <c r="T33" s="59">
        <v>5.0724637681159424E-2</v>
      </c>
      <c r="U33" s="59">
        <v>1.3157894736842105E-2</v>
      </c>
      <c r="V33" s="59">
        <v>0</v>
      </c>
    </row>
    <row r="34" spans="1:22">
      <c r="A34" s="19" t="s">
        <v>77</v>
      </c>
      <c r="B34" s="37"/>
      <c r="C34" s="13">
        <v>4</v>
      </c>
      <c r="D34" s="13">
        <v>4</v>
      </c>
      <c r="E34" s="13">
        <v>10</v>
      </c>
      <c r="F34" s="20">
        <v>18</v>
      </c>
      <c r="H34" s="68"/>
      <c r="J34" s="19" t="s">
        <v>41</v>
      </c>
      <c r="K34" s="59">
        <f>C36/C51</f>
        <v>4.9645390070921988E-2</v>
      </c>
      <c r="L34" s="59">
        <f>D36/D51</f>
        <v>3.7499999999999999E-2</v>
      </c>
      <c r="M34" s="59">
        <f>B36/B51</f>
        <v>0</v>
      </c>
      <c r="N34" s="59">
        <f>E36/E51</f>
        <v>2.4539877300613498E-2</v>
      </c>
      <c r="S34" s="19" t="s">
        <v>41</v>
      </c>
      <c r="T34" s="59">
        <v>5.0724637681159424E-2</v>
      </c>
      <c r="U34" s="59">
        <v>3.9473684210526314E-2</v>
      </c>
      <c r="V34" s="59">
        <v>0</v>
      </c>
    </row>
    <row r="35" spans="1:22">
      <c r="A35" s="19" t="s">
        <v>78</v>
      </c>
      <c r="B35" s="37"/>
      <c r="C35" s="13">
        <v>7</v>
      </c>
      <c r="D35" s="13">
        <v>1</v>
      </c>
      <c r="E35" s="13">
        <v>2</v>
      </c>
      <c r="F35" s="20">
        <v>10</v>
      </c>
      <c r="H35" s="68"/>
      <c r="J35" s="19" t="s">
        <v>42</v>
      </c>
      <c r="K35" s="59">
        <f>C37/C51</f>
        <v>1.4184397163120567E-2</v>
      </c>
      <c r="L35" s="59">
        <f>D37/D51</f>
        <v>1.2500000000000001E-2</v>
      </c>
      <c r="M35" s="59">
        <f>B37/B51</f>
        <v>0</v>
      </c>
      <c r="N35" s="59">
        <f>E37/E51</f>
        <v>2.4539877300613498E-2</v>
      </c>
      <c r="S35" s="19" t="s">
        <v>133</v>
      </c>
      <c r="T35" s="59">
        <f>12/138</f>
        <v>8.6956521739130432E-2</v>
      </c>
      <c r="U35" s="59">
        <f>5/76</f>
        <v>6.5789473684210523E-2</v>
      </c>
      <c r="V35" s="59">
        <f>8/1157</f>
        <v>6.9144338807260158E-3</v>
      </c>
    </row>
    <row r="36" spans="1:22">
      <c r="A36" s="19" t="s">
        <v>79</v>
      </c>
      <c r="B36" s="37"/>
      <c r="C36" s="13">
        <v>7</v>
      </c>
      <c r="D36" s="13">
        <v>3</v>
      </c>
      <c r="E36" s="13">
        <v>4</v>
      </c>
      <c r="F36" s="20">
        <v>14</v>
      </c>
      <c r="H36" s="68"/>
      <c r="J36" s="19" t="s">
        <v>133</v>
      </c>
      <c r="K36" s="59">
        <f>C38/C51</f>
        <v>7.0921985815602835E-3</v>
      </c>
      <c r="L36" s="59">
        <f>D38/D51</f>
        <v>3.7499999999999999E-2</v>
      </c>
      <c r="M36" s="59">
        <f>B38/B51</f>
        <v>0</v>
      </c>
      <c r="N36" s="59">
        <f>E38/E51</f>
        <v>1.2269938650306749E-2</v>
      </c>
      <c r="S36" s="19" t="s">
        <v>44</v>
      </c>
      <c r="T36" s="59">
        <v>0</v>
      </c>
      <c r="U36" s="59">
        <v>1.3157894736842105E-2</v>
      </c>
      <c r="V36" s="59">
        <v>0</v>
      </c>
    </row>
    <row r="37" spans="1:22">
      <c r="A37" s="19" t="s">
        <v>80</v>
      </c>
      <c r="B37" s="37"/>
      <c r="C37" s="13">
        <v>2</v>
      </c>
      <c r="D37" s="13">
        <v>1</v>
      </c>
      <c r="E37" s="13">
        <v>4</v>
      </c>
      <c r="F37" s="20">
        <v>7</v>
      </c>
      <c r="H37" s="68"/>
      <c r="J37" s="19" t="s">
        <v>43</v>
      </c>
      <c r="K37" s="59">
        <f>C39/C51</f>
        <v>6.3829787234042548E-2</v>
      </c>
      <c r="L37" s="59">
        <f>D39/D51</f>
        <v>1.2500000000000001E-2</v>
      </c>
      <c r="M37" s="59">
        <f>B39/B51</f>
        <v>0</v>
      </c>
      <c r="N37" s="59">
        <f>E39/E51</f>
        <v>1.2269938650306749E-2</v>
      </c>
      <c r="S37" s="19" t="s">
        <v>45</v>
      </c>
      <c r="T37" s="59">
        <v>0.27536231884057971</v>
      </c>
      <c r="U37" s="59">
        <v>0.11842105263157894</v>
      </c>
      <c r="V37" s="59">
        <v>0</v>
      </c>
    </row>
    <row r="38" spans="1:22">
      <c r="A38" s="19" t="s">
        <v>91</v>
      </c>
      <c r="B38" s="37"/>
      <c r="C38" s="13">
        <v>1</v>
      </c>
      <c r="D38" s="13">
        <v>3</v>
      </c>
      <c r="E38" s="13">
        <v>2</v>
      </c>
      <c r="F38" s="20">
        <v>6</v>
      </c>
      <c r="H38" s="68"/>
      <c r="J38" s="19" t="s">
        <v>44</v>
      </c>
      <c r="K38" s="59">
        <f>C40/C51</f>
        <v>0</v>
      </c>
      <c r="L38" s="59">
        <f>D40/D51</f>
        <v>1.2500000000000001E-2</v>
      </c>
      <c r="M38" s="59">
        <f>B40/B51</f>
        <v>0</v>
      </c>
      <c r="N38" s="59">
        <f>E40/E51</f>
        <v>0</v>
      </c>
      <c r="S38" s="19" t="s">
        <v>46</v>
      </c>
      <c r="T38" s="59">
        <v>7.246376811594203E-3</v>
      </c>
      <c r="U38" s="59">
        <v>0</v>
      </c>
      <c r="V38" s="59">
        <v>0</v>
      </c>
    </row>
    <row r="39" spans="1:22">
      <c r="A39" s="19" t="s">
        <v>81</v>
      </c>
      <c r="B39" s="37"/>
      <c r="C39" s="13">
        <v>9</v>
      </c>
      <c r="D39" s="13">
        <v>1</v>
      </c>
      <c r="E39" s="13">
        <v>2</v>
      </c>
      <c r="F39" s="20">
        <v>12</v>
      </c>
      <c r="H39" s="68"/>
      <c r="J39" s="19" t="s">
        <v>45</v>
      </c>
      <c r="K39" s="59">
        <f>C41/C51</f>
        <v>0.26950354609929078</v>
      </c>
      <c r="L39" s="59">
        <f>D41/D51</f>
        <v>0.1125</v>
      </c>
      <c r="M39" s="59">
        <f>B41/B51</f>
        <v>0</v>
      </c>
      <c r="N39" s="59">
        <f>E41/E51</f>
        <v>0.12883435582822086</v>
      </c>
      <c r="S39" s="19" t="s">
        <v>104</v>
      </c>
      <c r="T39" s="59">
        <v>0</v>
      </c>
      <c r="U39" s="59">
        <v>1.3157894736842105E-2</v>
      </c>
      <c r="V39" s="59">
        <v>0</v>
      </c>
    </row>
    <row r="40" spans="1:22">
      <c r="A40" s="19" t="s">
        <v>10</v>
      </c>
      <c r="B40" s="37"/>
      <c r="C40" s="13"/>
      <c r="D40" s="13">
        <v>1</v>
      </c>
      <c r="E40" s="13"/>
      <c r="F40" s="20">
        <v>1</v>
      </c>
      <c r="H40" s="68"/>
      <c r="J40" s="19" t="s">
        <v>46</v>
      </c>
      <c r="K40" s="59">
        <f>C42/C51</f>
        <v>7.0921985815602835E-3</v>
      </c>
      <c r="L40" s="59">
        <f>D42/D51</f>
        <v>0</v>
      </c>
      <c r="M40" s="59">
        <f>B42/B51</f>
        <v>0</v>
      </c>
      <c r="N40" s="59">
        <f>E42/E51</f>
        <v>0</v>
      </c>
      <c r="S40" s="19" t="s">
        <v>73</v>
      </c>
      <c r="T40" s="59">
        <v>7.246376811594203E-3</v>
      </c>
      <c r="U40" s="59">
        <v>2.6315789473684209E-2</v>
      </c>
      <c r="V40" s="59">
        <v>0</v>
      </c>
    </row>
    <row r="41" spans="1:22">
      <c r="A41" s="19" t="s">
        <v>11</v>
      </c>
      <c r="B41" s="37"/>
      <c r="C41" s="13">
        <v>38</v>
      </c>
      <c r="D41" s="13">
        <v>9</v>
      </c>
      <c r="E41" s="13">
        <v>21</v>
      </c>
      <c r="F41" s="20">
        <v>68</v>
      </c>
      <c r="H41" s="68"/>
      <c r="J41" s="19" t="s">
        <v>104</v>
      </c>
      <c r="K41" s="59">
        <f>C43/C51</f>
        <v>0</v>
      </c>
      <c r="L41" s="59">
        <f>D43/D51</f>
        <v>1.2500000000000001E-2</v>
      </c>
      <c r="M41" s="59">
        <f>B43/B51</f>
        <v>0</v>
      </c>
      <c r="N41" s="59">
        <f>E43/E51</f>
        <v>0</v>
      </c>
      <c r="S41" s="19" t="s">
        <v>47</v>
      </c>
      <c r="T41" s="59">
        <v>7.246376811594203E-3</v>
      </c>
      <c r="U41" s="59">
        <v>0</v>
      </c>
      <c r="V41" s="59">
        <v>0</v>
      </c>
    </row>
    <row r="42" spans="1:22">
      <c r="A42" s="19" t="s">
        <v>12</v>
      </c>
      <c r="B42" s="37"/>
      <c r="C42" s="13">
        <v>1</v>
      </c>
      <c r="D42" s="13"/>
      <c r="E42" s="13"/>
      <c r="F42" s="20">
        <v>1</v>
      </c>
      <c r="H42" s="68"/>
      <c r="J42" s="19" t="s">
        <v>73</v>
      </c>
      <c r="K42" s="59">
        <f>C44/C51</f>
        <v>7.0921985815602835E-3</v>
      </c>
      <c r="L42" s="59">
        <f>D44/D51</f>
        <v>2.5000000000000001E-2</v>
      </c>
      <c r="M42" s="59">
        <f>B44/B51</f>
        <v>0</v>
      </c>
      <c r="N42" s="59">
        <f>E44/E51</f>
        <v>0</v>
      </c>
      <c r="S42" s="19" t="s">
        <v>105</v>
      </c>
      <c r="T42" s="59">
        <v>3.6231884057971016E-2</v>
      </c>
      <c r="U42" s="59">
        <v>2.6315789473684209E-2</v>
      </c>
      <c r="V42" s="59">
        <v>0</v>
      </c>
    </row>
    <row r="43" spans="1:22">
      <c r="A43" s="19" t="s">
        <v>92</v>
      </c>
      <c r="B43" s="37"/>
      <c r="C43" s="13"/>
      <c r="D43" s="13">
        <v>1</v>
      </c>
      <c r="E43" s="13"/>
      <c r="F43" s="20">
        <v>1</v>
      </c>
      <c r="H43" s="68"/>
      <c r="J43" s="19" t="s">
        <v>47</v>
      </c>
      <c r="K43" s="59">
        <f>C45/C51</f>
        <v>7.0921985815602835E-3</v>
      </c>
      <c r="L43" s="59">
        <f>D45/D51</f>
        <v>0</v>
      </c>
      <c r="M43" s="59">
        <f>B45/B51</f>
        <v>0</v>
      </c>
      <c r="N43" s="59">
        <f>E45/E51</f>
        <v>0</v>
      </c>
      <c r="S43" s="19" t="s">
        <v>49</v>
      </c>
      <c r="T43" s="59">
        <v>7.246376811594203E-3</v>
      </c>
      <c r="U43" s="59">
        <v>0</v>
      </c>
      <c r="V43" s="59">
        <v>0</v>
      </c>
    </row>
    <row r="44" spans="1:22">
      <c r="A44" s="19" t="s">
        <v>93</v>
      </c>
      <c r="B44" s="37"/>
      <c r="C44" s="13">
        <v>1</v>
      </c>
      <c r="D44" s="13">
        <v>2</v>
      </c>
      <c r="E44" s="13"/>
      <c r="F44" s="20">
        <v>3</v>
      </c>
      <c r="H44" s="68"/>
      <c r="J44" s="19" t="s">
        <v>105</v>
      </c>
      <c r="K44" s="59">
        <f>C46/C51</f>
        <v>3.5460992907801421E-2</v>
      </c>
      <c r="L44" s="59">
        <f>D46/D51</f>
        <v>2.5000000000000001E-2</v>
      </c>
      <c r="M44" s="59">
        <f>B46/B51</f>
        <v>0</v>
      </c>
      <c r="N44" s="59">
        <f>E46/E51</f>
        <v>1.2269938650306749E-2</v>
      </c>
      <c r="S44" s="19" t="s">
        <v>50</v>
      </c>
      <c r="T44" s="59">
        <v>1.4492753623188406E-2</v>
      </c>
      <c r="U44" s="59">
        <v>0</v>
      </c>
      <c r="V44" s="59">
        <v>0</v>
      </c>
    </row>
    <row r="45" spans="1:22">
      <c r="A45" s="19" t="s">
        <v>94</v>
      </c>
      <c r="B45" s="37"/>
      <c r="C45" s="13">
        <v>1</v>
      </c>
      <c r="D45" s="13"/>
      <c r="E45" s="13"/>
      <c r="F45" s="20">
        <v>1</v>
      </c>
      <c r="H45" s="68"/>
      <c r="J45" s="19" t="s">
        <v>49</v>
      </c>
      <c r="K45" s="59">
        <f>C47/C51</f>
        <v>7.0921985815602835E-3</v>
      </c>
      <c r="L45" s="59">
        <f>D47/D51</f>
        <v>0</v>
      </c>
      <c r="M45" s="59">
        <f>B47/B51</f>
        <v>0</v>
      </c>
      <c r="N45" s="59">
        <f>E47/E51</f>
        <v>0</v>
      </c>
      <c r="S45" s="19" t="s">
        <v>106</v>
      </c>
      <c r="T45" s="59">
        <v>2.8985507246376812E-2</v>
      </c>
      <c r="U45" s="59">
        <v>2.6315789473684209E-2</v>
      </c>
      <c r="V45" s="59">
        <v>0</v>
      </c>
    </row>
    <row r="46" spans="1:22">
      <c r="A46" s="19" t="s">
        <v>95</v>
      </c>
      <c r="B46" s="37"/>
      <c r="C46" s="13">
        <v>5</v>
      </c>
      <c r="D46" s="13">
        <v>2</v>
      </c>
      <c r="E46" s="13">
        <v>2</v>
      </c>
      <c r="F46" s="20">
        <v>9</v>
      </c>
      <c r="H46" s="68"/>
      <c r="J46" s="19" t="s">
        <v>50</v>
      </c>
      <c r="K46" s="59">
        <f>C48/C51</f>
        <v>1.4184397163120567E-2</v>
      </c>
      <c r="L46" s="59">
        <f>D48/D51</f>
        <v>1.2500000000000001E-2</v>
      </c>
      <c r="M46" s="59">
        <f>B48/B51</f>
        <v>0</v>
      </c>
      <c r="N46" s="59">
        <f>E48/E51</f>
        <v>1.8404907975460124E-2</v>
      </c>
      <c r="S46" s="19" t="s">
        <v>51</v>
      </c>
      <c r="T46" s="59">
        <v>0</v>
      </c>
      <c r="U46" s="59">
        <v>5.2631578947368418E-2</v>
      </c>
      <c r="V46" s="59">
        <v>0</v>
      </c>
    </row>
    <row r="47" spans="1:22">
      <c r="A47" s="19" t="s">
        <v>96</v>
      </c>
      <c r="B47" s="37"/>
      <c r="C47" s="13">
        <v>1</v>
      </c>
      <c r="D47" s="13"/>
      <c r="E47" s="13"/>
      <c r="F47" s="20">
        <v>1</v>
      </c>
      <c r="H47" s="68"/>
      <c r="J47" s="19" t="s">
        <v>106</v>
      </c>
      <c r="K47" s="59">
        <f>C49/C51</f>
        <v>2.8368794326241134E-2</v>
      </c>
      <c r="L47" s="59">
        <f>D49/D51</f>
        <v>3.7499999999999999E-2</v>
      </c>
      <c r="M47" s="59">
        <f>B49/B51</f>
        <v>0</v>
      </c>
      <c r="N47" s="59">
        <f>E49/E51</f>
        <v>6.1349693251533744E-3</v>
      </c>
    </row>
    <row r="48" spans="1:22">
      <c r="A48" s="19" t="s">
        <v>97</v>
      </c>
      <c r="B48" s="37"/>
      <c r="C48" s="13">
        <v>2</v>
      </c>
      <c r="D48" s="13">
        <v>1</v>
      </c>
      <c r="E48" s="13">
        <v>3</v>
      </c>
      <c r="F48" s="20">
        <v>6</v>
      </c>
      <c r="H48" s="68"/>
      <c r="J48" s="19" t="s">
        <v>51</v>
      </c>
      <c r="K48" s="59">
        <f>Q77/C51</f>
        <v>7.0921985815602835E-3</v>
      </c>
      <c r="L48" s="59">
        <f>R77/C51</f>
        <v>2.1276595744680851E-2</v>
      </c>
      <c r="M48" s="59">
        <f>0/B51</f>
        <v>0</v>
      </c>
      <c r="N48" s="59">
        <v>0</v>
      </c>
    </row>
    <row r="49" spans="1:20">
      <c r="A49" s="19" t="s">
        <v>98</v>
      </c>
      <c r="B49" s="37"/>
      <c r="C49" s="13">
        <v>4</v>
      </c>
      <c r="D49" s="13">
        <v>3</v>
      </c>
      <c r="E49" s="13">
        <v>1</v>
      </c>
      <c r="F49" s="20">
        <v>8</v>
      </c>
      <c r="H49" s="68"/>
    </row>
    <row r="50" spans="1:20">
      <c r="A50" s="19" t="s">
        <v>99</v>
      </c>
      <c r="B50" s="37"/>
      <c r="C50" s="13"/>
      <c r="D50" s="13"/>
      <c r="E50" s="13"/>
      <c r="F50" s="20"/>
      <c r="G50" s="19"/>
      <c r="H50" s="66"/>
      <c r="I50" s="59"/>
      <c r="J50" s="59"/>
      <c r="K50" s="59"/>
    </row>
    <row r="51" spans="1:20">
      <c r="A51" s="33" t="s">
        <v>100</v>
      </c>
      <c r="B51" s="57">
        <v>7</v>
      </c>
      <c r="C51" s="56">
        <v>141</v>
      </c>
      <c r="D51" s="56">
        <v>80</v>
      </c>
      <c r="E51" s="56">
        <v>163</v>
      </c>
      <c r="F51" s="54">
        <v>391</v>
      </c>
      <c r="G51" s="19"/>
      <c r="H51" s="66"/>
      <c r="I51" s="59"/>
      <c r="J51" s="59"/>
      <c r="K51" s="59"/>
    </row>
    <row r="52" spans="1:20">
      <c r="A52" s="66"/>
      <c r="B52" s="67"/>
      <c r="C52" s="68"/>
      <c r="D52" s="68"/>
      <c r="E52" s="68"/>
      <c r="G52" s="19"/>
      <c r="H52" s="66"/>
      <c r="I52" s="59"/>
      <c r="J52" s="59"/>
      <c r="K52" s="59"/>
    </row>
    <row r="53" spans="1:20">
      <c r="A53" s="66"/>
      <c r="B53" s="67"/>
      <c r="C53" s="68"/>
      <c r="D53" s="68"/>
      <c r="E53" s="68"/>
      <c r="G53" s="19"/>
      <c r="H53" s="66"/>
      <c r="I53" s="59"/>
      <c r="J53" s="59"/>
      <c r="K53" s="59"/>
    </row>
    <row r="54" spans="1:20">
      <c r="A54" s="66"/>
      <c r="B54" s="67"/>
      <c r="C54" s="68"/>
      <c r="D54" s="68"/>
      <c r="E54" s="68"/>
      <c r="G54" s="19"/>
      <c r="H54" s="66"/>
      <c r="I54" s="59"/>
      <c r="J54" s="59"/>
      <c r="K54" s="59"/>
      <c r="O54" s="16"/>
      <c r="P54" s="16"/>
      <c r="Q54" s="21"/>
      <c r="R54" s="21"/>
      <c r="S54" s="21"/>
      <c r="T54" s="34"/>
    </row>
    <row r="55" spans="1:20">
      <c r="A55" s="66"/>
      <c r="B55" s="67"/>
      <c r="C55" s="68"/>
      <c r="D55" s="68"/>
      <c r="E55" s="68"/>
      <c r="G55" s="19"/>
      <c r="H55" s="66"/>
      <c r="I55" s="59"/>
      <c r="J55" s="59"/>
      <c r="K55" s="59"/>
      <c r="O55" s="16"/>
      <c r="P55" s="16" t="s">
        <v>57</v>
      </c>
      <c r="Q55" s="32" t="s">
        <v>55</v>
      </c>
      <c r="R55" s="32" t="s">
        <v>56</v>
      </c>
      <c r="S55" s="32" t="s">
        <v>138</v>
      </c>
      <c r="T55" s="17" t="s">
        <v>88</v>
      </c>
    </row>
    <row r="56" spans="1:20">
      <c r="A56" s="66"/>
      <c r="B56" s="67"/>
      <c r="C56" s="68"/>
      <c r="D56" s="68"/>
      <c r="E56" s="68"/>
      <c r="G56" s="19"/>
      <c r="H56" s="66"/>
      <c r="I56" s="59"/>
      <c r="J56" s="59"/>
      <c r="K56" s="59"/>
      <c r="O56" s="16" t="s">
        <v>74</v>
      </c>
      <c r="P56" s="35">
        <v>6</v>
      </c>
      <c r="Q56" s="36">
        <v>128</v>
      </c>
      <c r="R56" s="36">
        <v>50</v>
      </c>
      <c r="S56" s="36">
        <v>143</v>
      </c>
      <c r="T56" s="18">
        <v>327</v>
      </c>
    </row>
    <row r="57" spans="1:20">
      <c r="A57" s="66"/>
      <c r="B57" s="67"/>
      <c r="C57" s="68"/>
      <c r="D57" s="68"/>
      <c r="E57" s="68"/>
      <c r="G57" s="19"/>
      <c r="H57" s="66"/>
      <c r="I57" s="59"/>
      <c r="J57" s="59"/>
      <c r="K57" s="59"/>
      <c r="O57" s="19" t="s">
        <v>75</v>
      </c>
      <c r="P57" s="37"/>
      <c r="Q57" s="13">
        <v>1</v>
      </c>
      <c r="R57" s="13"/>
      <c r="S57" s="13">
        <v>1</v>
      </c>
      <c r="T57" s="20">
        <v>2</v>
      </c>
    </row>
    <row r="58" spans="1:20" ht="12" customHeight="1">
      <c r="A58" s="66"/>
      <c r="B58" s="67"/>
      <c r="C58" s="68"/>
      <c r="D58" s="68"/>
      <c r="E58" s="68"/>
      <c r="G58" s="19"/>
      <c r="H58" s="66"/>
      <c r="I58" s="59"/>
      <c r="J58" s="59"/>
      <c r="K58" s="59"/>
      <c r="O58" s="19" t="s">
        <v>76</v>
      </c>
      <c r="P58" s="37"/>
      <c r="Q58" s="13">
        <v>1</v>
      </c>
      <c r="R58" s="13">
        <v>2</v>
      </c>
      <c r="S58" s="13">
        <v>12</v>
      </c>
      <c r="T58" s="20">
        <v>15</v>
      </c>
    </row>
    <row r="59" spans="1:20">
      <c r="A59" s="66"/>
      <c r="B59" s="67"/>
      <c r="C59" s="68"/>
      <c r="D59" s="68"/>
      <c r="E59" s="68"/>
      <c r="G59" s="19"/>
      <c r="H59" s="66"/>
      <c r="I59" s="59"/>
      <c r="J59" s="59"/>
      <c r="K59" s="59"/>
      <c r="O59" s="19" t="s">
        <v>77</v>
      </c>
      <c r="P59" s="37"/>
      <c r="Q59" s="13">
        <v>4</v>
      </c>
      <c r="R59" s="13">
        <v>4</v>
      </c>
      <c r="S59" s="13">
        <v>10</v>
      </c>
      <c r="T59" s="20">
        <v>18</v>
      </c>
    </row>
    <row r="60" spans="1:20" ht="15.75" customHeight="1">
      <c r="A60" s="66"/>
      <c r="B60" s="67"/>
      <c r="C60" s="68"/>
      <c r="D60" s="68"/>
      <c r="E60" s="68"/>
      <c r="G60" s="19"/>
      <c r="H60" s="66"/>
      <c r="I60" s="59"/>
      <c r="J60" s="59"/>
      <c r="K60" s="59"/>
      <c r="O60" s="19" t="s">
        <v>78</v>
      </c>
      <c r="P60" s="37"/>
      <c r="Q60" s="13">
        <v>7</v>
      </c>
      <c r="R60" s="13">
        <v>1</v>
      </c>
      <c r="S60" s="13">
        <v>2</v>
      </c>
      <c r="T60" s="20">
        <v>10</v>
      </c>
    </row>
    <row r="61" spans="1:20" ht="15.75" customHeight="1">
      <c r="A61" s="66"/>
      <c r="B61" s="67"/>
      <c r="C61" s="68"/>
      <c r="D61" s="68"/>
      <c r="E61" s="68"/>
      <c r="G61" s="19"/>
      <c r="H61" s="66"/>
      <c r="I61" s="59"/>
      <c r="J61" s="59"/>
      <c r="K61" s="59"/>
      <c r="O61" s="19" t="s">
        <v>79</v>
      </c>
      <c r="P61" s="37"/>
      <c r="Q61" s="13">
        <v>7</v>
      </c>
      <c r="R61" s="13">
        <v>3</v>
      </c>
      <c r="S61" s="13">
        <v>4</v>
      </c>
      <c r="T61" s="20">
        <v>14</v>
      </c>
    </row>
    <row r="62" spans="1:20" ht="15.75" customHeight="1">
      <c r="A62" s="66"/>
      <c r="B62" s="67"/>
      <c r="C62" s="68"/>
      <c r="D62" s="68"/>
      <c r="E62" s="68"/>
      <c r="G62" s="19"/>
      <c r="H62" s="66"/>
      <c r="I62" s="59"/>
      <c r="J62" s="59"/>
      <c r="K62" s="59"/>
      <c r="O62" s="19" t="s">
        <v>80</v>
      </c>
      <c r="P62" s="37"/>
      <c r="Q62" s="13">
        <v>2</v>
      </c>
      <c r="R62" s="13">
        <v>1</v>
      </c>
      <c r="S62" s="13">
        <v>4</v>
      </c>
      <c r="T62" s="20">
        <v>7</v>
      </c>
    </row>
    <row r="63" spans="1:20" ht="15.75" customHeight="1">
      <c r="A63" s="66"/>
      <c r="B63" s="67"/>
      <c r="C63" s="68"/>
      <c r="D63" s="68"/>
      <c r="E63" s="68"/>
      <c r="G63" s="19"/>
      <c r="H63" s="66"/>
      <c r="I63" s="59"/>
      <c r="J63" s="59"/>
      <c r="K63" s="59"/>
      <c r="O63" s="19" t="s">
        <v>91</v>
      </c>
      <c r="P63" s="37"/>
      <c r="Q63" s="13">
        <v>1</v>
      </c>
      <c r="R63" s="13">
        <v>3</v>
      </c>
      <c r="S63" s="13">
        <v>2</v>
      </c>
      <c r="T63" s="20">
        <v>6</v>
      </c>
    </row>
    <row r="64" spans="1:20" ht="15.75" customHeight="1">
      <c r="A64" s="66"/>
      <c r="B64" s="67"/>
      <c r="C64" s="68"/>
      <c r="D64" s="68"/>
      <c r="E64" s="68"/>
      <c r="G64" s="19"/>
      <c r="H64" s="59"/>
      <c r="I64" s="59"/>
      <c r="J64" s="59"/>
      <c r="O64" s="19" t="s">
        <v>81</v>
      </c>
      <c r="P64" s="37"/>
      <c r="Q64" s="13">
        <v>9</v>
      </c>
      <c r="R64" s="13">
        <v>1</v>
      </c>
      <c r="S64" s="13">
        <v>2</v>
      </c>
      <c r="T64" s="20">
        <v>12</v>
      </c>
    </row>
    <row r="65" spans="1:20" ht="15.75" customHeight="1">
      <c r="A65" s="66"/>
      <c r="B65" s="67"/>
      <c r="C65" s="68"/>
      <c r="D65" s="68"/>
      <c r="E65" s="68"/>
      <c r="G65" s="19"/>
      <c r="H65" s="59"/>
      <c r="I65" s="59"/>
      <c r="J65" s="59"/>
      <c r="O65" s="19" t="s">
        <v>10</v>
      </c>
      <c r="P65" s="37"/>
      <c r="Q65" s="13"/>
      <c r="R65" s="13">
        <v>1</v>
      </c>
      <c r="S65" s="13"/>
      <c r="T65" s="20">
        <v>1</v>
      </c>
    </row>
    <row r="66" spans="1:20" ht="49.5" customHeight="1">
      <c r="A66" s="66"/>
      <c r="B66" s="67"/>
      <c r="C66" s="68"/>
      <c r="D66" s="68"/>
      <c r="E66" s="68"/>
      <c r="G66" s="19"/>
      <c r="H66" s="59"/>
      <c r="I66" s="59"/>
      <c r="J66" s="59"/>
      <c r="O66" s="19" t="s">
        <v>11</v>
      </c>
      <c r="P66" s="37"/>
      <c r="Q66" s="13">
        <v>38</v>
      </c>
      <c r="R66" s="13">
        <v>9</v>
      </c>
      <c r="S66" s="13">
        <v>21</v>
      </c>
      <c r="T66" s="20">
        <v>68</v>
      </c>
    </row>
    <row r="67" spans="1:20">
      <c r="A67" s="66"/>
      <c r="B67" s="67"/>
      <c r="C67" s="68"/>
      <c r="D67" s="68"/>
      <c r="E67" s="68"/>
      <c r="G67" s="19"/>
      <c r="H67" s="59"/>
      <c r="I67" s="59"/>
      <c r="J67" s="59"/>
      <c r="O67" s="19" t="s">
        <v>12</v>
      </c>
      <c r="P67" s="37"/>
      <c r="Q67" s="13">
        <v>1</v>
      </c>
      <c r="R67" s="13"/>
      <c r="S67" s="13"/>
      <c r="T67" s="20">
        <v>1</v>
      </c>
    </row>
    <row r="68" spans="1:20">
      <c r="A68" s="66"/>
      <c r="B68" s="67"/>
      <c r="C68" s="68"/>
      <c r="D68" s="68"/>
      <c r="E68" s="68"/>
      <c r="G68" s="19"/>
      <c r="H68" s="59"/>
      <c r="I68" s="59"/>
      <c r="J68" s="59"/>
      <c r="O68" s="19" t="s">
        <v>92</v>
      </c>
      <c r="P68" s="37"/>
      <c r="Q68" s="13"/>
      <c r="R68" s="13">
        <v>1</v>
      </c>
      <c r="S68" s="13"/>
      <c r="T68" s="20">
        <v>1</v>
      </c>
    </row>
    <row r="69" spans="1:20">
      <c r="A69" s="66"/>
      <c r="B69" s="67"/>
      <c r="C69" s="68"/>
      <c r="D69" s="68"/>
      <c r="E69" s="68"/>
      <c r="G69" s="19"/>
      <c r="H69" s="59"/>
      <c r="I69" s="59"/>
      <c r="J69" s="59"/>
      <c r="O69" s="19" t="s">
        <v>93</v>
      </c>
      <c r="P69" s="37"/>
      <c r="Q69" s="13">
        <v>1</v>
      </c>
      <c r="R69" s="13">
        <v>2</v>
      </c>
      <c r="S69" s="13"/>
      <c r="T69" s="20">
        <v>3</v>
      </c>
    </row>
    <row r="70" spans="1:20" ht="33.75" customHeight="1">
      <c r="A70" s="66"/>
      <c r="B70" s="67"/>
      <c r="C70" s="68"/>
      <c r="D70" s="68"/>
      <c r="E70" s="68"/>
      <c r="G70" s="19"/>
      <c r="H70" s="59"/>
      <c r="I70" s="59"/>
      <c r="J70" s="59"/>
      <c r="O70" s="19" t="s">
        <v>94</v>
      </c>
      <c r="P70" s="37"/>
      <c r="Q70" s="13">
        <v>1</v>
      </c>
      <c r="R70" s="13"/>
      <c r="S70" s="13"/>
      <c r="T70" s="20">
        <v>1</v>
      </c>
    </row>
    <row r="71" spans="1:20">
      <c r="A71" s="66"/>
      <c r="B71" s="67"/>
      <c r="C71" s="68"/>
      <c r="D71" s="68"/>
      <c r="E71" s="68"/>
      <c r="G71" s="19"/>
      <c r="H71" s="59"/>
      <c r="I71" s="59"/>
      <c r="J71" s="59"/>
      <c r="O71" s="19" t="s">
        <v>95</v>
      </c>
      <c r="P71" s="37"/>
      <c r="Q71" s="13">
        <v>5</v>
      </c>
      <c r="R71" s="13">
        <v>2</v>
      </c>
      <c r="S71" s="13">
        <v>2</v>
      </c>
      <c r="T71" s="20">
        <v>9</v>
      </c>
    </row>
    <row r="72" spans="1:20">
      <c r="A72" s="66"/>
      <c r="B72" s="67"/>
      <c r="C72" s="68"/>
      <c r="D72" s="68"/>
      <c r="E72" s="68"/>
      <c r="G72" s="19"/>
      <c r="H72" s="59"/>
      <c r="I72" s="59"/>
      <c r="J72" s="59"/>
      <c r="O72" s="19" t="s">
        <v>96</v>
      </c>
      <c r="P72" s="37"/>
      <c r="Q72" s="13">
        <v>1</v>
      </c>
      <c r="R72" s="13"/>
      <c r="S72" s="13"/>
      <c r="T72" s="20">
        <v>1</v>
      </c>
    </row>
    <row r="73" spans="1:20">
      <c r="A73" s="66"/>
      <c r="B73" s="67"/>
      <c r="C73" s="68"/>
      <c r="D73" s="68"/>
      <c r="E73" s="68"/>
      <c r="G73" s="19"/>
      <c r="H73" s="59"/>
      <c r="I73" s="59"/>
      <c r="J73" s="59"/>
      <c r="O73" s="19" t="s">
        <v>97</v>
      </c>
      <c r="P73" s="37"/>
      <c r="Q73" s="13">
        <v>2</v>
      </c>
      <c r="R73" s="13">
        <v>1</v>
      </c>
      <c r="S73" s="13">
        <v>3</v>
      </c>
      <c r="T73" s="20">
        <v>6</v>
      </c>
    </row>
    <row r="74" spans="1:20">
      <c r="A74" s="66"/>
      <c r="B74" s="67"/>
      <c r="C74" s="68"/>
      <c r="D74" s="68"/>
      <c r="E74" s="68"/>
      <c r="G74" s="19"/>
      <c r="H74" s="59"/>
      <c r="I74" s="59"/>
      <c r="J74" s="59"/>
      <c r="O74" s="19" t="s">
        <v>98</v>
      </c>
      <c r="P74" s="37"/>
      <c r="Q74" s="13">
        <v>4</v>
      </c>
      <c r="R74" s="13">
        <v>3</v>
      </c>
      <c r="S74" s="13">
        <v>1</v>
      </c>
      <c r="T74" s="20">
        <v>8</v>
      </c>
    </row>
    <row r="75" spans="1:20">
      <c r="A75" s="66"/>
      <c r="B75" s="67"/>
      <c r="C75" s="68"/>
      <c r="D75" s="68"/>
      <c r="E75" s="68"/>
      <c r="G75" s="19"/>
      <c r="H75" s="59"/>
      <c r="I75" s="59"/>
      <c r="J75" s="59"/>
      <c r="O75" s="19" t="s">
        <v>99</v>
      </c>
      <c r="P75" s="37"/>
      <c r="Q75" s="13"/>
      <c r="R75" s="13"/>
      <c r="S75" s="13"/>
      <c r="T75" s="20"/>
    </row>
    <row r="76" spans="1:20">
      <c r="A76" s="66"/>
      <c r="B76" s="67"/>
      <c r="C76" s="68"/>
      <c r="D76" s="68"/>
      <c r="E76" s="68"/>
      <c r="G76" s="19"/>
      <c r="H76" s="59"/>
      <c r="I76" s="59"/>
      <c r="J76" s="59"/>
      <c r="O76" s="19" t="s">
        <v>100</v>
      </c>
      <c r="P76" s="41">
        <v>7</v>
      </c>
      <c r="Q76" s="13">
        <v>141</v>
      </c>
      <c r="R76" s="13">
        <v>80</v>
      </c>
      <c r="S76" s="13">
        <v>163</v>
      </c>
      <c r="T76" s="20">
        <v>391</v>
      </c>
    </row>
    <row r="77" spans="1:20">
      <c r="G77" s="33"/>
      <c r="H77" s="59"/>
      <c r="I77" s="59"/>
      <c r="J77" s="59"/>
      <c r="O77" s="33" t="s">
        <v>154</v>
      </c>
      <c r="P77" s="55"/>
      <c r="Q77" s="56">
        <v>1</v>
      </c>
      <c r="R77" s="56">
        <v>3</v>
      </c>
      <c r="S77" s="56"/>
      <c r="T77" s="54">
        <v>4</v>
      </c>
    </row>
    <row r="80" spans="1:20">
      <c r="A80" s="16"/>
      <c r="B80" s="25" t="s">
        <v>70</v>
      </c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34"/>
    </row>
    <row r="81" spans="1:19">
      <c r="A81" s="25" t="s">
        <v>8</v>
      </c>
      <c r="B81" s="16">
        <v>1998</v>
      </c>
      <c r="C81" s="32">
        <v>1999</v>
      </c>
      <c r="D81" s="32">
        <v>2000</v>
      </c>
      <c r="E81" s="32">
        <v>2001</v>
      </c>
      <c r="F81" s="32">
        <v>2002</v>
      </c>
      <c r="G81" s="32">
        <v>2003</v>
      </c>
      <c r="H81" s="32">
        <v>2004</v>
      </c>
      <c r="I81" s="32">
        <v>2005</v>
      </c>
      <c r="J81" s="32">
        <v>2006</v>
      </c>
      <c r="K81" s="32">
        <v>2007</v>
      </c>
      <c r="L81" s="32">
        <v>2008</v>
      </c>
      <c r="M81" s="32">
        <v>2009</v>
      </c>
      <c r="N81" s="32">
        <v>2010</v>
      </c>
      <c r="O81" s="32">
        <v>2011</v>
      </c>
      <c r="P81" s="32">
        <v>2012</v>
      </c>
      <c r="Q81" s="32">
        <v>2013</v>
      </c>
      <c r="R81" s="32">
        <v>2014</v>
      </c>
      <c r="S81" s="17" t="s">
        <v>88</v>
      </c>
    </row>
    <row r="82" spans="1:19">
      <c r="A82" s="16" t="s">
        <v>74</v>
      </c>
      <c r="B82" s="35">
        <v>26</v>
      </c>
      <c r="C82" s="36">
        <v>15</v>
      </c>
      <c r="D82" s="36">
        <v>35</v>
      </c>
      <c r="E82" s="36">
        <v>35</v>
      </c>
      <c r="F82" s="36">
        <v>23</v>
      </c>
      <c r="G82" s="36">
        <v>36</v>
      </c>
      <c r="H82" s="36">
        <v>35</v>
      </c>
      <c r="I82" s="36">
        <v>25</v>
      </c>
      <c r="J82" s="36">
        <v>14</v>
      </c>
      <c r="K82" s="36">
        <v>9</v>
      </c>
      <c r="L82" s="36">
        <v>11</v>
      </c>
      <c r="M82" s="36">
        <v>14</v>
      </c>
      <c r="N82" s="36">
        <v>16</v>
      </c>
      <c r="O82" s="36">
        <v>11</v>
      </c>
      <c r="P82" s="36">
        <v>5</v>
      </c>
      <c r="Q82" s="36">
        <v>11</v>
      </c>
      <c r="R82" s="36">
        <v>11</v>
      </c>
      <c r="S82" s="18">
        <v>332</v>
      </c>
    </row>
    <row r="83" spans="1:19">
      <c r="A83" s="19" t="s">
        <v>75</v>
      </c>
      <c r="B83" s="37"/>
      <c r="C83" s="13"/>
      <c r="D83" s="13"/>
      <c r="E83" s="13"/>
      <c r="F83" s="13"/>
      <c r="G83" s="13">
        <v>1</v>
      </c>
      <c r="H83" s="13"/>
      <c r="I83" s="13"/>
      <c r="J83" s="13"/>
      <c r="K83" s="13"/>
      <c r="L83" s="13"/>
      <c r="M83" s="13"/>
      <c r="N83" s="13">
        <v>1</v>
      </c>
      <c r="O83" s="13"/>
      <c r="P83" s="13"/>
      <c r="Q83" s="13"/>
      <c r="R83" s="13"/>
      <c r="S83" s="20">
        <v>2</v>
      </c>
    </row>
    <row r="84" spans="1:19">
      <c r="A84" s="19" t="s">
        <v>76</v>
      </c>
      <c r="B84" s="37">
        <v>1</v>
      </c>
      <c r="C84" s="13"/>
      <c r="D84" s="13">
        <v>2</v>
      </c>
      <c r="E84" s="13">
        <v>3</v>
      </c>
      <c r="F84" s="13">
        <v>3</v>
      </c>
      <c r="G84" s="13">
        <v>1</v>
      </c>
      <c r="H84" s="13">
        <v>2</v>
      </c>
      <c r="I84" s="13">
        <v>3</v>
      </c>
      <c r="J84" s="13"/>
      <c r="K84" s="13"/>
      <c r="L84" s="13"/>
      <c r="M84" s="13"/>
      <c r="N84" s="13"/>
      <c r="O84" s="13"/>
      <c r="P84" s="13"/>
      <c r="Q84" s="13"/>
      <c r="R84" s="13"/>
      <c r="S84" s="20">
        <v>15</v>
      </c>
    </row>
    <row r="85" spans="1:19">
      <c r="A85" s="19" t="s">
        <v>77</v>
      </c>
      <c r="B85" s="37">
        <v>1</v>
      </c>
      <c r="C85" s="13"/>
      <c r="D85" s="13">
        <v>1</v>
      </c>
      <c r="E85" s="13">
        <v>2</v>
      </c>
      <c r="F85" s="13"/>
      <c r="G85" s="13"/>
      <c r="H85" s="13">
        <v>3</v>
      </c>
      <c r="I85" s="13">
        <v>2</v>
      </c>
      <c r="J85" s="13">
        <v>1</v>
      </c>
      <c r="K85" s="13"/>
      <c r="L85" s="13">
        <v>4</v>
      </c>
      <c r="M85" s="13"/>
      <c r="N85" s="13">
        <v>1</v>
      </c>
      <c r="O85" s="13">
        <v>3</v>
      </c>
      <c r="P85" s="13"/>
      <c r="Q85" s="13"/>
      <c r="R85" s="13">
        <v>1</v>
      </c>
      <c r="S85" s="20">
        <v>19</v>
      </c>
    </row>
    <row r="86" spans="1:19">
      <c r="A86" s="19" t="s">
        <v>78</v>
      </c>
      <c r="B86" s="37">
        <v>3</v>
      </c>
      <c r="C86" s="13"/>
      <c r="D86" s="13"/>
      <c r="E86" s="13">
        <v>4</v>
      </c>
      <c r="F86" s="13"/>
      <c r="G86" s="13"/>
      <c r="H86" s="13"/>
      <c r="I86" s="13">
        <v>2</v>
      </c>
      <c r="J86" s="13"/>
      <c r="K86" s="13"/>
      <c r="L86" s="13">
        <v>1</v>
      </c>
      <c r="M86" s="13"/>
      <c r="N86" s="13"/>
      <c r="O86" s="13"/>
      <c r="P86" s="13"/>
      <c r="Q86" s="13"/>
      <c r="R86" s="13">
        <v>1</v>
      </c>
      <c r="S86" s="20">
        <v>11</v>
      </c>
    </row>
    <row r="87" spans="1:19">
      <c r="A87" s="19" t="s">
        <v>79</v>
      </c>
      <c r="B87" s="37">
        <v>1</v>
      </c>
      <c r="C87" s="13"/>
      <c r="D87" s="13"/>
      <c r="E87" s="13">
        <v>1</v>
      </c>
      <c r="F87" s="13">
        <v>1</v>
      </c>
      <c r="G87" s="13">
        <v>4</v>
      </c>
      <c r="H87" s="13">
        <v>2</v>
      </c>
      <c r="I87" s="13">
        <v>3</v>
      </c>
      <c r="J87" s="13"/>
      <c r="K87" s="13">
        <v>1</v>
      </c>
      <c r="L87" s="13"/>
      <c r="M87" s="13">
        <v>1</v>
      </c>
      <c r="N87" s="13"/>
      <c r="O87" s="13"/>
      <c r="P87" s="13"/>
      <c r="Q87" s="13"/>
      <c r="R87" s="13"/>
      <c r="S87" s="20">
        <v>14</v>
      </c>
    </row>
    <row r="88" spans="1:19">
      <c r="A88" s="19" t="s">
        <v>80</v>
      </c>
      <c r="B88" s="37"/>
      <c r="C88" s="13"/>
      <c r="D88" s="13"/>
      <c r="E88" s="13">
        <v>1</v>
      </c>
      <c r="F88" s="13"/>
      <c r="G88" s="13">
        <v>2</v>
      </c>
      <c r="H88" s="13">
        <v>4</v>
      </c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20">
        <v>7</v>
      </c>
    </row>
    <row r="89" spans="1:19">
      <c r="A89" s="19" t="s">
        <v>91</v>
      </c>
      <c r="B89" s="37"/>
      <c r="C89" s="13"/>
      <c r="D89" s="13"/>
      <c r="E89" s="13"/>
      <c r="F89" s="13"/>
      <c r="G89" s="13">
        <v>1</v>
      </c>
      <c r="H89" s="13">
        <v>3</v>
      </c>
      <c r="I89" s="13">
        <v>1</v>
      </c>
      <c r="J89" s="13"/>
      <c r="K89" s="13"/>
      <c r="L89" s="13"/>
      <c r="M89" s="13"/>
      <c r="N89" s="13"/>
      <c r="O89" s="13"/>
      <c r="P89" s="13">
        <v>1</v>
      </c>
      <c r="Q89" s="13"/>
      <c r="R89" s="13"/>
      <c r="S89" s="20">
        <v>6</v>
      </c>
    </row>
    <row r="90" spans="1:19">
      <c r="A90" s="19" t="s">
        <v>81</v>
      </c>
      <c r="B90" s="37">
        <v>1</v>
      </c>
      <c r="C90" s="13">
        <v>1</v>
      </c>
      <c r="D90" s="13">
        <v>1</v>
      </c>
      <c r="E90" s="13">
        <v>2</v>
      </c>
      <c r="F90" s="13"/>
      <c r="G90" s="13"/>
      <c r="H90" s="13"/>
      <c r="I90" s="13"/>
      <c r="J90" s="13"/>
      <c r="K90" s="13">
        <v>1</v>
      </c>
      <c r="L90" s="13"/>
      <c r="M90" s="13">
        <v>1</v>
      </c>
      <c r="N90" s="13">
        <v>5</v>
      </c>
      <c r="O90" s="13"/>
      <c r="P90" s="13"/>
      <c r="Q90" s="13"/>
      <c r="R90" s="13"/>
      <c r="S90" s="20">
        <v>12</v>
      </c>
    </row>
    <row r="91" spans="1:19">
      <c r="A91" s="19" t="s">
        <v>10</v>
      </c>
      <c r="B91" s="37"/>
      <c r="C91" s="13"/>
      <c r="D91" s="13">
        <v>1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20">
        <v>1</v>
      </c>
    </row>
    <row r="92" spans="1:19">
      <c r="A92" s="19" t="s">
        <v>11</v>
      </c>
      <c r="B92" s="37">
        <v>3</v>
      </c>
      <c r="C92" s="13">
        <v>2</v>
      </c>
      <c r="D92" s="13">
        <v>13</v>
      </c>
      <c r="E92" s="13">
        <v>15</v>
      </c>
      <c r="F92" s="13">
        <v>19</v>
      </c>
      <c r="G92" s="13">
        <v>3</v>
      </c>
      <c r="H92" s="13">
        <v>2</v>
      </c>
      <c r="I92" s="13"/>
      <c r="J92" s="13">
        <v>1</v>
      </c>
      <c r="K92" s="13">
        <v>3</v>
      </c>
      <c r="L92" s="13"/>
      <c r="M92" s="13">
        <v>2</v>
      </c>
      <c r="N92" s="13">
        <v>3</v>
      </c>
      <c r="O92" s="13"/>
      <c r="P92" s="13">
        <v>1</v>
      </c>
      <c r="Q92" s="13">
        <v>1</v>
      </c>
      <c r="R92" s="13"/>
      <c r="S92" s="20">
        <v>68</v>
      </c>
    </row>
    <row r="93" spans="1:19">
      <c r="A93" s="19" t="s">
        <v>12</v>
      </c>
      <c r="B93" s="37"/>
      <c r="C93" s="13"/>
      <c r="D93" s="13">
        <v>1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20">
        <v>1</v>
      </c>
    </row>
    <row r="94" spans="1:19">
      <c r="A94" s="19" t="s">
        <v>92</v>
      </c>
      <c r="B94" s="37"/>
      <c r="C94" s="13"/>
      <c r="D94" s="13"/>
      <c r="E94" s="13"/>
      <c r="F94" s="13"/>
      <c r="G94" s="13"/>
      <c r="H94" s="13">
        <v>1</v>
      </c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20">
        <v>1</v>
      </c>
    </row>
    <row r="95" spans="1:19">
      <c r="A95" s="19" t="s">
        <v>93</v>
      </c>
      <c r="B95" s="37"/>
      <c r="C95" s="13"/>
      <c r="D95" s="13"/>
      <c r="E95" s="13"/>
      <c r="F95" s="13"/>
      <c r="G95" s="13"/>
      <c r="H95" s="13">
        <v>3</v>
      </c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20">
        <v>3</v>
      </c>
    </row>
    <row r="96" spans="1:19">
      <c r="A96" s="19" t="s">
        <v>94</v>
      </c>
      <c r="B96" s="37"/>
      <c r="C96" s="13"/>
      <c r="D96" s="13"/>
      <c r="E96" s="13">
        <v>1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20">
        <v>1</v>
      </c>
    </row>
    <row r="97" spans="1:19">
      <c r="A97" s="19" t="s">
        <v>95</v>
      </c>
      <c r="B97" s="37"/>
      <c r="C97" s="13"/>
      <c r="D97" s="13"/>
      <c r="E97" s="13">
        <v>6</v>
      </c>
      <c r="F97" s="13"/>
      <c r="G97" s="13">
        <v>2</v>
      </c>
      <c r="H97" s="13">
        <v>1</v>
      </c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20">
        <v>9</v>
      </c>
    </row>
    <row r="98" spans="1:19">
      <c r="A98" s="19" t="s">
        <v>96</v>
      </c>
      <c r="B98" s="37"/>
      <c r="C98" s="13"/>
      <c r="D98" s="13"/>
      <c r="E98" s="13">
        <v>1</v>
      </c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20">
        <v>1</v>
      </c>
    </row>
    <row r="99" spans="1:19">
      <c r="A99" s="19" t="s">
        <v>97</v>
      </c>
      <c r="B99" s="37"/>
      <c r="C99" s="13"/>
      <c r="D99" s="13"/>
      <c r="E99" s="13">
        <v>1</v>
      </c>
      <c r="F99" s="13"/>
      <c r="G99" s="13"/>
      <c r="H99" s="13">
        <v>1</v>
      </c>
      <c r="I99" s="13"/>
      <c r="J99" s="13">
        <v>1</v>
      </c>
      <c r="K99" s="13"/>
      <c r="L99" s="13">
        <v>1</v>
      </c>
      <c r="M99" s="13">
        <v>1</v>
      </c>
      <c r="N99" s="13"/>
      <c r="O99" s="13"/>
      <c r="P99" s="13"/>
      <c r="Q99" s="13">
        <v>1</v>
      </c>
      <c r="R99" s="13"/>
      <c r="S99" s="20">
        <v>6</v>
      </c>
    </row>
    <row r="100" spans="1:19">
      <c r="A100" s="19" t="s">
        <v>98</v>
      </c>
      <c r="B100" s="37"/>
      <c r="C100" s="13"/>
      <c r="D100" s="13"/>
      <c r="E100" s="13"/>
      <c r="F100" s="13"/>
      <c r="G100" s="13">
        <v>1</v>
      </c>
      <c r="H100" s="13">
        <v>1</v>
      </c>
      <c r="I100" s="13">
        <v>1</v>
      </c>
      <c r="J100" s="13">
        <v>1</v>
      </c>
      <c r="K100" s="13"/>
      <c r="L100" s="13"/>
      <c r="M100" s="13">
        <v>1</v>
      </c>
      <c r="N100" s="13">
        <v>1</v>
      </c>
      <c r="O100" s="13">
        <v>1</v>
      </c>
      <c r="P100" s="13"/>
      <c r="Q100" s="13">
        <v>1</v>
      </c>
      <c r="R100" s="13"/>
      <c r="S100" s="20">
        <v>8</v>
      </c>
    </row>
    <row r="101" spans="1:19">
      <c r="A101" s="19" t="s">
        <v>99</v>
      </c>
      <c r="B101" s="37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20"/>
    </row>
    <row r="102" spans="1:19">
      <c r="A102" s="33" t="s">
        <v>100</v>
      </c>
      <c r="B102" s="55">
        <v>33</v>
      </c>
      <c r="C102" s="56">
        <v>18</v>
      </c>
      <c r="D102" s="56">
        <v>42</v>
      </c>
      <c r="E102" s="56">
        <v>49</v>
      </c>
      <c r="F102" s="56">
        <v>27</v>
      </c>
      <c r="G102" s="56">
        <v>41</v>
      </c>
      <c r="H102" s="56">
        <v>37</v>
      </c>
      <c r="I102" s="56">
        <v>31</v>
      </c>
      <c r="J102" s="56">
        <v>17</v>
      </c>
      <c r="K102" s="56">
        <v>12</v>
      </c>
      <c r="L102" s="56">
        <v>20</v>
      </c>
      <c r="M102" s="56">
        <v>16</v>
      </c>
      <c r="N102" s="56">
        <v>16</v>
      </c>
      <c r="O102" s="56">
        <v>16</v>
      </c>
      <c r="P102" s="56">
        <v>5</v>
      </c>
      <c r="Q102" s="56">
        <v>11</v>
      </c>
      <c r="R102" s="56">
        <v>13</v>
      </c>
      <c r="S102" s="54">
        <v>404</v>
      </c>
    </row>
    <row r="103" spans="1:19">
      <c r="A103" s="66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1:19">
      <c r="A104" s="66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1:19">
      <c r="A105" s="66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1:19" ht="14.25" customHeight="1"/>
    <row r="110" spans="1:19">
      <c r="A110" s="16"/>
      <c r="B110" s="25" t="s">
        <v>14</v>
      </c>
      <c r="C110" s="21"/>
      <c r="D110" s="21"/>
      <c r="E110" s="34"/>
    </row>
    <row r="111" spans="1:19">
      <c r="A111" s="25" t="s">
        <v>8</v>
      </c>
      <c r="B111" s="16" t="s">
        <v>16</v>
      </c>
      <c r="C111" s="32" t="s">
        <v>15</v>
      </c>
      <c r="D111" s="32" t="s">
        <v>108</v>
      </c>
      <c r="E111" s="17" t="s">
        <v>88</v>
      </c>
      <c r="H111" t="s">
        <v>16</v>
      </c>
      <c r="I111" t="s">
        <v>15</v>
      </c>
    </row>
    <row r="112" spans="1:19">
      <c r="A112" s="16" t="s">
        <v>74</v>
      </c>
      <c r="B112" s="35">
        <v>249</v>
      </c>
      <c r="C112" s="36">
        <v>83</v>
      </c>
      <c r="D112" s="36"/>
      <c r="E112" s="18">
        <v>332</v>
      </c>
      <c r="G112" s="16" t="s">
        <v>101</v>
      </c>
      <c r="H112" s="58">
        <f>B112/B132</f>
        <v>0.85567010309278346</v>
      </c>
      <c r="I112" s="58">
        <f>C112/C132</f>
        <v>0.7410714285714286</v>
      </c>
    </row>
    <row r="113" spans="1:9">
      <c r="A113" s="19" t="s">
        <v>75</v>
      </c>
      <c r="B113" s="37">
        <v>2</v>
      </c>
      <c r="C113" s="13"/>
      <c r="D113" s="13"/>
      <c r="E113" s="20">
        <v>2</v>
      </c>
      <c r="G113" s="19" t="s">
        <v>102</v>
      </c>
      <c r="H113" s="58">
        <f>B113/B132</f>
        <v>6.8728522336769758E-3</v>
      </c>
      <c r="I113" s="58">
        <f>C113/C132</f>
        <v>0</v>
      </c>
    </row>
    <row r="114" spans="1:9">
      <c r="A114" s="19" t="s">
        <v>76</v>
      </c>
      <c r="B114" s="37">
        <v>1</v>
      </c>
      <c r="C114" s="13">
        <v>14</v>
      </c>
      <c r="D114" s="13"/>
      <c r="E114" s="20">
        <v>15</v>
      </c>
      <c r="G114" s="19" t="s">
        <v>103</v>
      </c>
      <c r="H114" s="58">
        <f>B114/B132</f>
        <v>3.4364261168384879E-3</v>
      </c>
      <c r="I114" s="58">
        <f>C114/C132</f>
        <v>0.125</v>
      </c>
    </row>
    <row r="115" spans="1:9">
      <c r="A115" s="19" t="s">
        <v>77</v>
      </c>
      <c r="B115" s="37">
        <v>12</v>
      </c>
      <c r="C115" s="13">
        <v>7</v>
      </c>
      <c r="D115" s="13"/>
      <c r="E115" s="20">
        <v>19</v>
      </c>
      <c r="G115" s="19" t="s">
        <v>33</v>
      </c>
      <c r="H115" s="58">
        <f>B115/B132</f>
        <v>4.1237113402061855E-2</v>
      </c>
      <c r="I115" s="58">
        <f>C115/C132</f>
        <v>6.25E-2</v>
      </c>
    </row>
    <row r="116" spans="1:9">
      <c r="A116" s="19" t="s">
        <v>78</v>
      </c>
      <c r="B116" s="37">
        <v>10</v>
      </c>
      <c r="C116" s="13">
        <v>1</v>
      </c>
      <c r="D116" s="13"/>
      <c r="E116" s="20">
        <v>11</v>
      </c>
      <c r="G116" s="19" t="s">
        <v>40</v>
      </c>
      <c r="H116" s="58">
        <f>B116/B132</f>
        <v>3.4364261168384883E-2</v>
      </c>
      <c r="I116" s="58">
        <f>C116/C132</f>
        <v>8.9285714285714281E-3</v>
      </c>
    </row>
    <row r="117" spans="1:9">
      <c r="A117" s="19" t="s">
        <v>79</v>
      </c>
      <c r="B117" s="37">
        <v>6</v>
      </c>
      <c r="C117" s="13">
        <v>8</v>
      </c>
      <c r="D117" s="13"/>
      <c r="E117" s="20">
        <v>14</v>
      </c>
      <c r="G117" s="19" t="s">
        <v>41</v>
      </c>
      <c r="H117" s="58">
        <f>B117/B132</f>
        <v>2.0618556701030927E-2</v>
      </c>
      <c r="I117" s="58">
        <f>C117/C132</f>
        <v>7.1428571428571425E-2</v>
      </c>
    </row>
    <row r="118" spans="1:9">
      <c r="A118" s="19" t="s">
        <v>80</v>
      </c>
      <c r="B118" s="37">
        <v>1</v>
      </c>
      <c r="C118" s="13">
        <v>6</v>
      </c>
      <c r="D118" s="13"/>
      <c r="E118" s="20">
        <v>7</v>
      </c>
      <c r="G118" s="19" t="s">
        <v>42</v>
      </c>
      <c r="H118" s="58">
        <f>B118/B132</f>
        <v>3.4364261168384879E-3</v>
      </c>
      <c r="I118" s="58">
        <f>C118/C132</f>
        <v>5.3571428571428568E-2</v>
      </c>
    </row>
    <row r="119" spans="1:9">
      <c r="A119" s="19" t="s">
        <v>91</v>
      </c>
      <c r="B119" s="37">
        <v>2</v>
      </c>
      <c r="C119" s="13">
        <v>4</v>
      </c>
      <c r="D119" s="13"/>
      <c r="E119" s="20">
        <v>6</v>
      </c>
      <c r="G119" s="19" t="s">
        <v>17</v>
      </c>
      <c r="H119" s="58">
        <f>B119/B132</f>
        <v>6.8728522336769758E-3</v>
      </c>
      <c r="I119" s="58">
        <f>C119/C132</f>
        <v>3.5714285714285712E-2</v>
      </c>
    </row>
    <row r="120" spans="1:9">
      <c r="A120" s="19" t="s">
        <v>81</v>
      </c>
      <c r="B120" s="37">
        <v>11</v>
      </c>
      <c r="C120" s="13">
        <v>1</v>
      </c>
      <c r="D120" s="13"/>
      <c r="E120" s="20">
        <v>12</v>
      </c>
      <c r="G120" s="19" t="s">
        <v>43</v>
      </c>
      <c r="H120" s="58">
        <f>B120/B132</f>
        <v>3.7800687285223365E-2</v>
      </c>
      <c r="I120" s="58">
        <f>C120/C132</f>
        <v>8.9285714285714281E-3</v>
      </c>
    </row>
    <row r="121" spans="1:9">
      <c r="A121" s="19" t="s">
        <v>10</v>
      </c>
      <c r="B121" s="37"/>
      <c r="C121" s="13">
        <v>1</v>
      </c>
      <c r="D121" s="13"/>
      <c r="E121" s="20">
        <v>1</v>
      </c>
      <c r="G121" s="19" t="s">
        <v>44</v>
      </c>
      <c r="H121" s="58">
        <f>B121/B132</f>
        <v>0</v>
      </c>
      <c r="I121" s="58">
        <f>C121/C132</f>
        <v>8.9285714285714281E-3</v>
      </c>
    </row>
    <row r="122" spans="1:9">
      <c r="A122" s="19" t="s">
        <v>11</v>
      </c>
      <c r="B122" s="37">
        <v>66</v>
      </c>
      <c r="C122" s="13">
        <v>2</v>
      </c>
      <c r="D122" s="13"/>
      <c r="E122" s="20">
        <v>68</v>
      </c>
      <c r="G122" s="19" t="s">
        <v>45</v>
      </c>
      <c r="H122" s="58">
        <f>B122/B132</f>
        <v>0.22680412371134021</v>
      </c>
      <c r="I122" s="58">
        <f>C122/C132</f>
        <v>1.7857142857142856E-2</v>
      </c>
    </row>
    <row r="123" spans="1:9">
      <c r="A123" s="19" t="s">
        <v>12</v>
      </c>
      <c r="B123" s="37">
        <v>1</v>
      </c>
      <c r="C123" s="13"/>
      <c r="D123" s="13"/>
      <c r="E123" s="20">
        <v>1</v>
      </c>
      <c r="G123" s="19" t="s">
        <v>46</v>
      </c>
      <c r="H123" s="58">
        <f>B123/B132</f>
        <v>3.4364261168384879E-3</v>
      </c>
      <c r="I123" s="58">
        <f>C123/C132</f>
        <v>0</v>
      </c>
    </row>
    <row r="124" spans="1:9">
      <c r="A124" s="19" t="s">
        <v>92</v>
      </c>
      <c r="B124" s="37"/>
      <c r="C124" s="13">
        <v>1</v>
      </c>
      <c r="D124" s="13"/>
      <c r="E124" s="20">
        <v>1</v>
      </c>
      <c r="G124" s="19" t="s">
        <v>104</v>
      </c>
      <c r="H124" s="58">
        <f>B124/B132</f>
        <v>0</v>
      </c>
      <c r="I124" s="58">
        <f>C124/C132</f>
        <v>8.9285714285714281E-3</v>
      </c>
    </row>
    <row r="125" spans="1:9">
      <c r="A125" s="19" t="s">
        <v>93</v>
      </c>
      <c r="B125" s="37"/>
      <c r="C125" s="13">
        <v>3</v>
      </c>
      <c r="D125" s="13"/>
      <c r="E125" s="20">
        <v>3</v>
      </c>
      <c r="G125" s="19" t="s">
        <v>73</v>
      </c>
      <c r="H125" s="58">
        <f>B125/B132</f>
        <v>0</v>
      </c>
      <c r="I125" s="58">
        <f>C125/C132</f>
        <v>2.6785714285714284E-2</v>
      </c>
    </row>
    <row r="126" spans="1:9">
      <c r="A126" s="19" t="s">
        <v>94</v>
      </c>
      <c r="B126" s="37"/>
      <c r="C126" s="13">
        <v>1</v>
      </c>
      <c r="D126" s="13"/>
      <c r="E126" s="20">
        <v>1</v>
      </c>
      <c r="G126" s="19" t="s">
        <v>47</v>
      </c>
      <c r="H126" s="58">
        <f>B126/B132</f>
        <v>0</v>
      </c>
      <c r="I126" s="58">
        <f>C126/C132</f>
        <v>8.9285714285714281E-3</v>
      </c>
    </row>
    <row r="127" spans="1:9">
      <c r="A127" s="19" t="s">
        <v>95</v>
      </c>
      <c r="B127" s="37"/>
      <c r="C127" s="13">
        <v>9</v>
      </c>
      <c r="D127" s="13"/>
      <c r="E127" s="20">
        <v>9</v>
      </c>
      <c r="G127" s="19" t="s">
        <v>105</v>
      </c>
      <c r="H127" s="58">
        <f>B127/B132</f>
        <v>0</v>
      </c>
      <c r="I127" s="58">
        <f>C127/C132</f>
        <v>8.0357142857142863E-2</v>
      </c>
    </row>
    <row r="128" spans="1:9">
      <c r="A128" s="19" t="s">
        <v>96</v>
      </c>
      <c r="B128" s="37"/>
      <c r="C128" s="13">
        <v>1</v>
      </c>
      <c r="D128" s="13"/>
      <c r="E128" s="20">
        <v>1</v>
      </c>
      <c r="G128" s="19" t="s">
        <v>49</v>
      </c>
      <c r="H128" s="58">
        <f>B128/B132</f>
        <v>0</v>
      </c>
      <c r="I128" s="58">
        <f>C128/C132</f>
        <v>8.9285714285714281E-3</v>
      </c>
    </row>
    <row r="129" spans="1:12">
      <c r="A129" s="19" t="s">
        <v>97</v>
      </c>
      <c r="B129" s="37">
        <v>5</v>
      </c>
      <c r="C129" s="13">
        <v>1</v>
      </c>
      <c r="D129" s="13"/>
      <c r="E129" s="20">
        <v>6</v>
      </c>
      <c r="G129" s="19" t="s">
        <v>50</v>
      </c>
      <c r="H129" s="58">
        <f>B129/B132</f>
        <v>1.7182130584192441E-2</v>
      </c>
      <c r="I129" s="58">
        <f>C129/C132</f>
        <v>8.9285714285714281E-3</v>
      </c>
    </row>
    <row r="130" spans="1:12">
      <c r="A130" s="19" t="s">
        <v>98</v>
      </c>
      <c r="B130" s="37">
        <v>8</v>
      </c>
      <c r="C130" s="13"/>
      <c r="D130" s="13"/>
      <c r="E130" s="20">
        <v>8</v>
      </c>
      <c r="G130" s="19" t="s">
        <v>106</v>
      </c>
      <c r="H130" s="58">
        <f>B130/B132</f>
        <v>2.7491408934707903E-2</v>
      </c>
      <c r="I130" s="58">
        <f>C130/C132</f>
        <v>0</v>
      </c>
    </row>
    <row r="131" spans="1:12">
      <c r="A131" s="19" t="s">
        <v>99</v>
      </c>
      <c r="B131" s="37"/>
      <c r="C131" s="13"/>
      <c r="D131" s="13"/>
      <c r="E131" s="20"/>
      <c r="G131" s="19" t="s">
        <v>51</v>
      </c>
      <c r="H131" s="58">
        <f>2/B132</f>
        <v>6.8728522336769758E-3</v>
      </c>
      <c r="I131" s="58">
        <f>2/C132</f>
        <v>1.7857142857142856E-2</v>
      </c>
    </row>
    <row r="132" spans="1:12">
      <c r="A132" s="33" t="s">
        <v>100</v>
      </c>
      <c r="B132" s="55">
        <v>291</v>
      </c>
      <c r="C132" s="56">
        <v>112</v>
      </c>
      <c r="D132" s="56">
        <v>1</v>
      </c>
      <c r="E132" s="54">
        <v>404</v>
      </c>
    </row>
    <row r="133" spans="1:12">
      <c r="F133" s="58"/>
      <c r="G133" s="58"/>
    </row>
    <row r="134" spans="1:12">
      <c r="F134" s="58"/>
      <c r="G134" s="58"/>
    </row>
    <row r="135" spans="1:12">
      <c r="F135" s="58"/>
      <c r="G135" s="58"/>
    </row>
    <row r="138" spans="1:12">
      <c r="A138" s="16"/>
      <c r="B138" s="21"/>
      <c r="C138" s="25" t="s">
        <v>113</v>
      </c>
      <c r="D138" s="21"/>
      <c r="E138" s="21"/>
      <c r="F138" s="34"/>
      <c r="J138" s="16" t="s">
        <v>115</v>
      </c>
      <c r="K138" s="32" t="s">
        <v>122</v>
      </c>
      <c r="L138" s="32" t="s">
        <v>123</v>
      </c>
    </row>
    <row r="139" spans="1:12">
      <c r="A139" s="25" t="s">
        <v>27</v>
      </c>
      <c r="B139" s="25" t="s">
        <v>8</v>
      </c>
      <c r="C139" s="16" t="s">
        <v>115</v>
      </c>
      <c r="D139" s="32" t="s">
        <v>129</v>
      </c>
      <c r="E139" s="32" t="s">
        <v>135</v>
      </c>
      <c r="F139" s="17" t="s">
        <v>88</v>
      </c>
      <c r="I139" t="str">
        <f>'pivot charts'!B140</f>
        <v>Average of Mummichog</v>
      </c>
      <c r="J139">
        <f>'pivot charts'!C140</f>
        <v>150.109375</v>
      </c>
      <c r="K139">
        <f>'pivot charts'!D140</f>
        <v>39</v>
      </c>
      <c r="L139">
        <f>'pivot charts'!E140</f>
        <v>77.55</v>
      </c>
    </row>
    <row r="140" spans="1:12">
      <c r="A140" s="16" t="s">
        <v>59</v>
      </c>
      <c r="B140" s="16" t="s">
        <v>9</v>
      </c>
      <c r="C140" s="35">
        <v>150.109375</v>
      </c>
      <c r="D140" s="36">
        <v>39</v>
      </c>
      <c r="E140" s="36">
        <v>77.55</v>
      </c>
      <c r="F140" s="18">
        <v>131.72941176470587</v>
      </c>
      <c r="I140" t="str">
        <f>'pivot charts'!B141</f>
        <v>Average of 9 spined stickleback</v>
      </c>
      <c r="J140">
        <f>'pivot charts'!C141</f>
        <v>0.125</v>
      </c>
      <c r="K140">
        <f>'pivot charts'!D141</f>
        <v>0</v>
      </c>
      <c r="L140">
        <f>'pivot charts'!E141</f>
        <v>0.13636363636363635</v>
      </c>
    </row>
    <row r="141" spans="1:12">
      <c r="A141" s="64"/>
      <c r="B141" s="19" t="s">
        <v>118</v>
      </c>
      <c r="C141" s="37">
        <v>0.125</v>
      </c>
      <c r="D141" s="13">
        <v>0</v>
      </c>
      <c r="E141" s="13">
        <v>0.13636363636363635</v>
      </c>
      <c r="F141" s="20">
        <v>0.12643678160919541</v>
      </c>
      <c r="I141" t="str">
        <f>'pivot charts'!B142</f>
        <v>Average of Green Crab</v>
      </c>
      <c r="J141">
        <f>'pivot charts'!C142</f>
        <v>0.640625</v>
      </c>
      <c r="K141">
        <f>'pivot charts'!D142</f>
        <v>0</v>
      </c>
      <c r="L141">
        <f>'pivot charts'!E142</f>
        <v>9.0909090909090912E-2</v>
      </c>
    </row>
    <row r="142" spans="1:12">
      <c r="A142" s="64"/>
      <c r="B142" s="19" t="s">
        <v>120</v>
      </c>
      <c r="C142" s="37">
        <v>0.640625</v>
      </c>
      <c r="D142" s="13">
        <v>0</v>
      </c>
      <c r="E142" s="13">
        <v>9.0909090909090912E-2</v>
      </c>
      <c r="F142" s="20">
        <v>0.4942528735632184</v>
      </c>
      <c r="I142" t="str">
        <f>'pivot charts'!B143</f>
        <v>Average of Mummichog</v>
      </c>
      <c r="J142">
        <f>'pivot charts'!C143</f>
        <v>216.13043478260869</v>
      </c>
      <c r="K142">
        <f>'pivot charts'!D143</f>
        <v>0</v>
      </c>
      <c r="L142">
        <f>'pivot charts'!E143</f>
        <v>96.1</v>
      </c>
    </row>
    <row r="143" spans="1:12">
      <c r="A143" s="16" t="s">
        <v>58</v>
      </c>
      <c r="B143" s="16" t="s">
        <v>9</v>
      </c>
      <c r="C143" s="35">
        <v>216.13043478260869</v>
      </c>
      <c r="D143" s="36"/>
      <c r="E143" s="36">
        <v>96.1</v>
      </c>
      <c r="F143" s="18">
        <v>179.75757575757575</v>
      </c>
      <c r="I143" t="str">
        <f>'pivot charts'!B144</f>
        <v>Average of 9 spined stickleback</v>
      </c>
      <c r="J143">
        <f>'pivot charts'!C144</f>
        <v>2.1276595744680851E-2</v>
      </c>
      <c r="K143">
        <f>'pivot charts'!D144</f>
        <v>0</v>
      </c>
      <c r="L143">
        <f>'pivot charts'!E144</f>
        <v>0.5</v>
      </c>
    </row>
    <row r="144" spans="1:12">
      <c r="A144" s="64"/>
      <c r="B144" s="19" t="s">
        <v>118</v>
      </c>
      <c r="C144" s="37">
        <v>2.1276595744680851E-2</v>
      </c>
      <c r="D144" s="13"/>
      <c r="E144" s="13">
        <v>0.5</v>
      </c>
      <c r="F144" s="20">
        <v>0.16417910447761194</v>
      </c>
      <c r="I144" t="str">
        <f>'pivot charts'!B145</f>
        <v>Average of Green Crab</v>
      </c>
      <c r="J144">
        <f>'pivot charts'!C145</f>
        <v>0.68085106382978722</v>
      </c>
      <c r="K144">
        <f>'pivot charts'!D145</f>
        <v>0</v>
      </c>
      <c r="L144">
        <f>'pivot charts'!E145</f>
        <v>0.1</v>
      </c>
    </row>
    <row r="145" spans="1:21">
      <c r="A145" s="64"/>
      <c r="B145" s="19" t="s">
        <v>120</v>
      </c>
      <c r="C145" s="37">
        <v>0.68085106382978722</v>
      </c>
      <c r="D145" s="13"/>
      <c r="E145" s="13">
        <v>0.1</v>
      </c>
      <c r="F145" s="20">
        <v>0.5074626865671642</v>
      </c>
    </row>
    <row r="146" spans="1:21">
      <c r="A146" s="16" t="s">
        <v>5</v>
      </c>
      <c r="B146" s="16" t="s">
        <v>9</v>
      </c>
      <c r="C146" s="35"/>
      <c r="D146" s="36">
        <v>12</v>
      </c>
      <c r="E146" s="36"/>
      <c r="F146" s="18">
        <v>12</v>
      </c>
      <c r="K146">
        <v>2006</v>
      </c>
      <c r="L146">
        <v>2007</v>
      </c>
      <c r="M146">
        <v>2008</v>
      </c>
      <c r="N146">
        <v>2009</v>
      </c>
      <c r="O146">
        <v>2010</v>
      </c>
      <c r="P146">
        <v>2011</v>
      </c>
      <c r="Q146">
        <v>2012</v>
      </c>
      <c r="R146">
        <v>2013</v>
      </c>
      <c r="S146">
        <v>2014</v>
      </c>
    </row>
    <row r="147" spans="1:21">
      <c r="A147" s="64"/>
      <c r="B147" s="19" t="s">
        <v>118</v>
      </c>
      <c r="C147" s="37"/>
      <c r="D147" s="13">
        <v>0</v>
      </c>
      <c r="E147" s="13"/>
      <c r="F147" s="20">
        <v>0</v>
      </c>
      <c r="J147" s="16" t="s">
        <v>115</v>
      </c>
      <c r="K147" s="32" t="s">
        <v>122</v>
      </c>
      <c r="L147" s="32" t="s">
        <v>123</v>
      </c>
      <c r="M147" s="32" t="s">
        <v>124</v>
      </c>
      <c r="N147" s="80" t="s">
        <v>145</v>
      </c>
      <c r="O147" s="80" t="s">
        <v>146</v>
      </c>
      <c r="P147" s="80" t="s">
        <v>147</v>
      </c>
      <c r="Q147" s="80" t="s">
        <v>150</v>
      </c>
      <c r="R147" s="80" t="s">
        <v>151</v>
      </c>
      <c r="S147" s="80" t="s">
        <v>153</v>
      </c>
    </row>
    <row r="148" spans="1:21">
      <c r="A148" s="64"/>
      <c r="B148" s="19" t="s">
        <v>120</v>
      </c>
      <c r="C148" s="37"/>
      <c r="D148" s="13">
        <v>0</v>
      </c>
      <c r="E148" s="13"/>
      <c r="F148" s="20">
        <v>0</v>
      </c>
      <c r="I148" t="str">
        <f>'pivot charts'!A140</f>
        <v>Boomerang</v>
      </c>
      <c r="J148">
        <f>'pivot charts'!C140</f>
        <v>150.109375</v>
      </c>
      <c r="K148">
        <f>'pivot charts'!D140</f>
        <v>39</v>
      </c>
      <c r="L148">
        <f>'pivot charts'!E140</f>
        <v>77.55</v>
      </c>
      <c r="M148" s="36">
        <v>41.25</v>
      </c>
      <c r="N148" s="13">
        <v>41.25</v>
      </c>
      <c r="O148" s="13">
        <v>134.33333333333334</v>
      </c>
      <c r="P148" s="13">
        <v>69</v>
      </c>
      <c r="R148" s="13">
        <v>253</v>
      </c>
    </row>
    <row r="149" spans="1:21">
      <c r="A149" s="16" t="s">
        <v>117</v>
      </c>
      <c r="B149" s="21"/>
      <c r="C149" s="35">
        <v>177.71818181818182</v>
      </c>
      <c r="D149" s="36">
        <v>25.5</v>
      </c>
      <c r="E149" s="36">
        <v>86.825000000000003</v>
      </c>
      <c r="F149" s="18">
        <v>151.79605263157896</v>
      </c>
      <c r="I149" t="str">
        <f>'pivot charts'!A143</f>
        <v>Doughnut Hole</v>
      </c>
      <c r="J149">
        <f>'pivot charts'!C143</f>
        <v>216.13043478260869</v>
      </c>
      <c r="K149">
        <f>'pivot charts'!D143</f>
        <v>0</v>
      </c>
      <c r="L149" s="13">
        <v>104.33333333333333</v>
      </c>
      <c r="M149" s="36">
        <v>5</v>
      </c>
      <c r="N149" s="13">
        <v>135.75</v>
      </c>
      <c r="O149" s="13">
        <v>73.666666666666671</v>
      </c>
      <c r="P149" s="13">
        <v>31</v>
      </c>
      <c r="Q149" s="13">
        <v>343</v>
      </c>
      <c r="R149" s="13">
        <v>41</v>
      </c>
    </row>
    <row r="150" spans="1:21">
      <c r="A150" s="16" t="s">
        <v>119</v>
      </c>
      <c r="B150" s="21"/>
      <c r="C150" s="35">
        <v>8.1081081081081086E-2</v>
      </c>
      <c r="D150" s="36">
        <v>0</v>
      </c>
      <c r="E150" s="36">
        <v>0.30952380952380953</v>
      </c>
      <c r="F150" s="18">
        <v>0.14193548387096774</v>
      </c>
      <c r="I150" t="s">
        <v>3</v>
      </c>
      <c r="K150">
        <v>226.6</v>
      </c>
      <c r="P150" s="13">
        <v>124</v>
      </c>
      <c r="S150">
        <v>230</v>
      </c>
    </row>
    <row r="151" spans="1:21">
      <c r="A151" s="22" t="s">
        <v>121</v>
      </c>
      <c r="B151" s="65"/>
      <c r="C151" s="61">
        <v>0.65765765765765771</v>
      </c>
      <c r="D151" s="62">
        <v>0</v>
      </c>
      <c r="E151" s="62">
        <v>9.5238095238095233E-2</v>
      </c>
      <c r="F151" s="63">
        <v>0.49677419354838709</v>
      </c>
    </row>
    <row r="153" spans="1:21">
      <c r="P153" s="25" t="s">
        <v>9</v>
      </c>
      <c r="Q153" s="21"/>
      <c r="R153" s="25" t="s">
        <v>113</v>
      </c>
      <c r="S153" s="21"/>
      <c r="T153" s="21"/>
      <c r="U153" s="34"/>
    </row>
    <row r="154" spans="1:21">
      <c r="P154" s="25" t="s">
        <v>27</v>
      </c>
      <c r="Q154" s="25" t="s">
        <v>70</v>
      </c>
      <c r="R154" s="16" t="s">
        <v>115</v>
      </c>
      <c r="S154" s="32" t="s">
        <v>129</v>
      </c>
      <c r="T154" s="32" t="s">
        <v>135</v>
      </c>
      <c r="U154" s="17" t="s">
        <v>88</v>
      </c>
    </row>
    <row r="155" spans="1:21">
      <c r="P155" s="16" t="s">
        <v>59</v>
      </c>
      <c r="Q155" s="16">
        <v>1999</v>
      </c>
      <c r="R155" s="35">
        <v>102.66666666666667</v>
      </c>
      <c r="S155" s="36"/>
      <c r="T155" s="36"/>
      <c r="U155" s="18">
        <v>102.66666666666667</v>
      </c>
    </row>
    <row r="156" spans="1:21">
      <c r="P156" s="64"/>
      <c r="Q156" s="19">
        <v>2000</v>
      </c>
      <c r="R156" s="37">
        <v>140.28571428571428</v>
      </c>
      <c r="S156" s="13"/>
      <c r="T156" s="13"/>
      <c r="U156" s="20">
        <v>140.28571428571428</v>
      </c>
    </row>
    <row r="157" spans="1:21">
      <c r="A157" s="25" t="s">
        <v>9</v>
      </c>
      <c r="B157" s="25" t="s">
        <v>113</v>
      </c>
      <c r="C157" s="21"/>
      <c r="D157" s="21"/>
      <c r="E157" s="34"/>
      <c r="P157" s="64"/>
      <c r="Q157" s="19">
        <v>2001</v>
      </c>
      <c r="R157" s="37">
        <v>112</v>
      </c>
      <c r="S157" s="13"/>
      <c r="T157" s="13"/>
      <c r="U157" s="20">
        <v>112</v>
      </c>
    </row>
    <row r="158" spans="1:21">
      <c r="A158" s="25" t="s">
        <v>27</v>
      </c>
      <c r="B158" s="16" t="s">
        <v>115</v>
      </c>
      <c r="C158" s="32" t="s">
        <v>129</v>
      </c>
      <c r="D158" s="32" t="s">
        <v>135</v>
      </c>
      <c r="E158" s="17" t="s">
        <v>88</v>
      </c>
      <c r="P158" s="64"/>
      <c r="Q158" s="19">
        <v>2002</v>
      </c>
      <c r="R158" s="37">
        <v>181</v>
      </c>
      <c r="S158" s="13"/>
      <c r="T158" s="13"/>
      <c r="U158" s="20">
        <v>181</v>
      </c>
    </row>
    <row r="159" spans="1:21">
      <c r="A159" s="16" t="s">
        <v>59</v>
      </c>
      <c r="B159" s="35">
        <v>150.109375</v>
      </c>
      <c r="C159" s="36">
        <v>39</v>
      </c>
      <c r="D159" s="36">
        <v>77.55</v>
      </c>
      <c r="E159" s="18">
        <v>131.72941176470587</v>
      </c>
      <c r="P159" s="64"/>
      <c r="Q159" s="19">
        <v>2003</v>
      </c>
      <c r="R159" s="37">
        <v>156.72727272727272</v>
      </c>
      <c r="S159" s="13"/>
      <c r="T159" s="13"/>
      <c r="U159" s="20">
        <v>156.72727272727272</v>
      </c>
    </row>
    <row r="160" spans="1:21">
      <c r="A160" s="19" t="s">
        <v>58</v>
      </c>
      <c r="B160" s="37">
        <v>216.13043478260869</v>
      </c>
      <c r="C160" s="13"/>
      <c r="D160" s="13">
        <v>96.1</v>
      </c>
      <c r="E160" s="20">
        <v>179.75757575757575</v>
      </c>
      <c r="P160" s="64"/>
      <c r="Q160" s="19">
        <v>2004</v>
      </c>
      <c r="R160" s="37">
        <v>211</v>
      </c>
      <c r="S160" s="13"/>
      <c r="T160" s="13"/>
      <c r="U160" s="20">
        <v>211</v>
      </c>
    </row>
    <row r="161" spans="1:21">
      <c r="A161" s="19" t="s">
        <v>3</v>
      </c>
      <c r="B161" s="37">
        <v>190.33333333333334</v>
      </c>
      <c r="C161" s="13"/>
      <c r="D161" s="13">
        <v>187.6</v>
      </c>
      <c r="E161" s="20">
        <v>189.09090909090909</v>
      </c>
      <c r="P161" s="64"/>
      <c r="Q161" s="19">
        <v>2005</v>
      </c>
      <c r="R161" s="37">
        <v>131.72727272727272</v>
      </c>
      <c r="S161" s="13"/>
      <c r="T161" s="13"/>
      <c r="U161" s="20">
        <v>131.72727272727272</v>
      </c>
    </row>
    <row r="162" spans="1:21">
      <c r="A162" s="19" t="s">
        <v>5</v>
      </c>
      <c r="B162" s="37"/>
      <c r="C162" s="13">
        <v>12</v>
      </c>
      <c r="D162" s="13"/>
      <c r="E162" s="20">
        <v>12</v>
      </c>
      <c r="P162" s="64"/>
      <c r="Q162" s="19">
        <v>2006</v>
      </c>
      <c r="R162" s="37">
        <v>158.5</v>
      </c>
      <c r="S162" s="13"/>
      <c r="T162" s="13"/>
      <c r="U162" s="20">
        <v>158.5</v>
      </c>
    </row>
    <row r="163" spans="1:21">
      <c r="A163" s="22" t="s">
        <v>88</v>
      </c>
      <c r="B163" s="61">
        <v>178.37068965517241</v>
      </c>
      <c r="C163" s="62">
        <v>25.5</v>
      </c>
      <c r="D163" s="62">
        <v>98.022222222222226</v>
      </c>
      <c r="E163" s="63">
        <v>154.31288343558282</v>
      </c>
      <c r="P163" s="64"/>
      <c r="Q163" s="19">
        <v>2007</v>
      </c>
      <c r="R163" s="37"/>
      <c r="S163" s="13"/>
      <c r="T163" s="13">
        <v>66.666666666666671</v>
      </c>
      <c r="U163" s="20">
        <v>66.666666666666671</v>
      </c>
    </row>
    <row r="164" spans="1:21">
      <c r="P164" s="64"/>
      <c r="Q164" s="19">
        <v>2008</v>
      </c>
      <c r="R164" s="37"/>
      <c r="S164" s="13"/>
      <c r="T164" s="13">
        <v>0.33333333333333331</v>
      </c>
      <c r="U164" s="20">
        <v>0.33333333333333331</v>
      </c>
    </row>
    <row r="165" spans="1:21">
      <c r="P165" s="64"/>
      <c r="Q165" s="19">
        <v>2009</v>
      </c>
      <c r="R165" s="37"/>
      <c r="S165" s="13"/>
      <c r="T165" s="13">
        <v>41.25</v>
      </c>
      <c r="U165" s="20">
        <v>41.25</v>
      </c>
    </row>
    <row r="166" spans="1:21">
      <c r="P166" s="64"/>
      <c r="Q166" s="19">
        <v>2010</v>
      </c>
      <c r="R166" s="37"/>
      <c r="S166" s="13">
        <v>39</v>
      </c>
      <c r="T166" s="13">
        <v>134.33333333333334</v>
      </c>
      <c r="U166" s="20">
        <v>110.5</v>
      </c>
    </row>
    <row r="167" spans="1:21">
      <c r="P167" s="64"/>
      <c r="Q167" s="19">
        <v>2011</v>
      </c>
      <c r="R167" s="37"/>
      <c r="S167" s="13"/>
      <c r="T167" s="13">
        <v>69</v>
      </c>
      <c r="U167" s="20">
        <v>69</v>
      </c>
    </row>
    <row r="168" spans="1:21">
      <c r="P168" s="64"/>
      <c r="Q168" s="19">
        <v>2013</v>
      </c>
      <c r="R168" s="37"/>
      <c r="S168" s="13"/>
      <c r="T168" s="13">
        <v>253</v>
      </c>
      <c r="U168" s="20">
        <v>253</v>
      </c>
    </row>
    <row r="169" spans="1:21">
      <c r="A169" s="16"/>
      <c r="B169" s="25" t="s">
        <v>29</v>
      </c>
      <c r="C169" s="21"/>
      <c r="D169" s="21"/>
      <c r="E169" s="21"/>
      <c r="F169" s="34"/>
      <c r="H169" t="str">
        <f>'pivot charts'!B169</f>
        <v>Area</v>
      </c>
      <c r="P169" s="64"/>
      <c r="Q169" s="19">
        <v>2014</v>
      </c>
      <c r="R169" s="37"/>
      <c r="S169" s="13"/>
      <c r="T169" s="13">
        <v>0</v>
      </c>
      <c r="U169" s="20">
        <v>0</v>
      </c>
    </row>
    <row r="170" spans="1:21">
      <c r="A170" s="25" t="s">
        <v>8</v>
      </c>
      <c r="B170" s="16" t="s">
        <v>57</v>
      </c>
      <c r="C170" s="32" t="s">
        <v>55</v>
      </c>
      <c r="D170" s="32" t="s">
        <v>56</v>
      </c>
      <c r="E170" s="32" t="s">
        <v>138</v>
      </c>
      <c r="F170" s="17" t="s">
        <v>88</v>
      </c>
      <c r="H170" t="str">
        <f>'pivot charts'!B170</f>
        <v>Panne</v>
      </c>
      <c r="I170" t="str">
        <f>'pivot charts'!C170</f>
        <v>River downstream</v>
      </c>
      <c r="J170" t="str">
        <f>'pivot charts'!D170</f>
        <v>River upstream</v>
      </c>
      <c r="P170" s="16" t="s">
        <v>148</v>
      </c>
      <c r="Q170" s="21"/>
      <c r="R170" s="35">
        <v>150.109375</v>
      </c>
      <c r="S170" s="36">
        <v>39</v>
      </c>
      <c r="T170" s="36">
        <v>77.55</v>
      </c>
      <c r="U170" s="18">
        <v>131.72941176470587</v>
      </c>
    </row>
    <row r="171" spans="1:21">
      <c r="A171" s="16" t="s">
        <v>74</v>
      </c>
      <c r="B171" s="35">
        <v>9</v>
      </c>
      <c r="C171" s="36">
        <v>130</v>
      </c>
      <c r="D171" s="36">
        <v>52</v>
      </c>
      <c r="E171" s="36">
        <v>141</v>
      </c>
      <c r="F171" s="18">
        <v>332</v>
      </c>
      <c r="H171" s="59">
        <f>B171/B191</f>
        <v>0.81818181818181823</v>
      </c>
      <c r="I171" s="59">
        <f>C171/C191</f>
        <v>0.89655172413793105</v>
      </c>
      <c r="J171" s="59">
        <f>D171/D191</f>
        <v>0.61904761904761907</v>
      </c>
      <c r="P171" s="16" t="s">
        <v>58</v>
      </c>
      <c r="Q171" s="16">
        <v>1999</v>
      </c>
      <c r="R171" s="35">
        <v>215.66666666666666</v>
      </c>
      <c r="S171" s="36"/>
      <c r="T171" s="36"/>
      <c r="U171" s="18">
        <v>215.66666666666666</v>
      </c>
    </row>
    <row r="172" spans="1:21">
      <c r="A172" s="19" t="s">
        <v>75</v>
      </c>
      <c r="B172" s="37"/>
      <c r="C172" s="13">
        <v>1</v>
      </c>
      <c r="D172" s="13"/>
      <c r="E172" s="13">
        <v>1</v>
      </c>
      <c r="F172" s="20">
        <v>2</v>
      </c>
      <c r="H172" s="59">
        <f>B172/B191</f>
        <v>0</v>
      </c>
      <c r="I172" s="59">
        <f>C172/C191</f>
        <v>6.8965517241379309E-3</v>
      </c>
      <c r="J172" s="59">
        <f>D172/D191</f>
        <v>0</v>
      </c>
      <c r="P172" s="64"/>
      <c r="Q172" s="19">
        <v>2000</v>
      </c>
      <c r="R172" s="37">
        <v>272.66666666666669</v>
      </c>
      <c r="S172" s="13"/>
      <c r="T172" s="13"/>
      <c r="U172" s="20">
        <v>272.66666666666669</v>
      </c>
    </row>
    <row r="173" spans="1:21">
      <c r="A173" s="19" t="s">
        <v>76</v>
      </c>
      <c r="B173" s="37"/>
      <c r="C173" s="13">
        <v>1</v>
      </c>
      <c r="D173" s="13">
        <v>2</v>
      </c>
      <c r="E173" s="13">
        <v>12</v>
      </c>
      <c r="F173" s="20">
        <v>15</v>
      </c>
      <c r="H173" s="59">
        <f>B173/B191</f>
        <v>0</v>
      </c>
      <c r="I173" s="59">
        <f>C173/C191</f>
        <v>6.8965517241379309E-3</v>
      </c>
      <c r="J173" s="59">
        <f>D173/D191</f>
        <v>2.3809523809523808E-2</v>
      </c>
      <c r="P173" s="64"/>
      <c r="Q173" s="19">
        <v>2001</v>
      </c>
      <c r="R173" s="37">
        <v>315.60000000000002</v>
      </c>
      <c r="S173" s="13"/>
      <c r="T173" s="13"/>
      <c r="U173" s="20">
        <v>315.60000000000002</v>
      </c>
    </row>
    <row r="174" spans="1:21">
      <c r="A174" s="19" t="s">
        <v>77</v>
      </c>
      <c r="B174" s="37">
        <v>1</v>
      </c>
      <c r="C174" s="13">
        <v>4</v>
      </c>
      <c r="D174" s="13">
        <v>4</v>
      </c>
      <c r="E174" s="13">
        <v>10</v>
      </c>
      <c r="F174" s="20">
        <v>19</v>
      </c>
      <c r="H174" s="59">
        <f>B174/B191</f>
        <v>9.0909090909090912E-2</v>
      </c>
      <c r="I174" s="59">
        <f>C174/C191</f>
        <v>2.7586206896551724E-2</v>
      </c>
      <c r="J174" s="59">
        <f>D174/D191</f>
        <v>4.7619047619047616E-2</v>
      </c>
      <c r="P174" s="64"/>
      <c r="Q174" s="19">
        <v>2002</v>
      </c>
      <c r="R174" s="37">
        <v>187.85714285714286</v>
      </c>
      <c r="S174" s="13"/>
      <c r="T174" s="13"/>
      <c r="U174" s="20">
        <v>187.85714285714286</v>
      </c>
    </row>
    <row r="175" spans="1:21">
      <c r="A175" s="19" t="s">
        <v>78</v>
      </c>
      <c r="B175" s="37"/>
      <c r="C175" s="13">
        <v>8</v>
      </c>
      <c r="D175" s="13">
        <v>1</v>
      </c>
      <c r="E175" s="13">
        <v>2</v>
      </c>
      <c r="F175" s="20">
        <v>11</v>
      </c>
      <c r="H175" s="59">
        <f>B175/B191</f>
        <v>0</v>
      </c>
      <c r="I175" s="59">
        <f>C175/C191</f>
        <v>5.5172413793103448E-2</v>
      </c>
      <c r="J175" s="59">
        <f>D175/D191</f>
        <v>1.1904761904761904E-2</v>
      </c>
      <c r="P175" s="64"/>
      <c r="Q175" s="19">
        <v>2003</v>
      </c>
      <c r="R175" s="37">
        <v>138.80000000000001</v>
      </c>
      <c r="S175" s="13"/>
      <c r="T175" s="13"/>
      <c r="U175" s="20">
        <v>138.80000000000001</v>
      </c>
    </row>
    <row r="176" spans="1:21">
      <c r="A176" s="19" t="s">
        <v>79</v>
      </c>
      <c r="B176" s="37"/>
      <c r="C176" s="13">
        <v>7</v>
      </c>
      <c r="D176" s="13">
        <v>3</v>
      </c>
      <c r="E176" s="13">
        <v>4</v>
      </c>
      <c r="F176" s="20">
        <v>14</v>
      </c>
      <c r="H176" s="59">
        <f>B176/B191</f>
        <v>0</v>
      </c>
      <c r="I176" s="59">
        <f>C176/C191</f>
        <v>4.8275862068965517E-2</v>
      </c>
      <c r="J176" s="59">
        <f>D176/D191</f>
        <v>3.5714285714285712E-2</v>
      </c>
      <c r="P176" s="64"/>
      <c r="Q176" s="19">
        <v>2004</v>
      </c>
      <c r="R176" s="37">
        <v>300.2</v>
      </c>
      <c r="S176" s="13"/>
      <c r="T176" s="13"/>
      <c r="U176" s="20">
        <v>300.2</v>
      </c>
    </row>
    <row r="177" spans="1:21">
      <c r="A177" s="19" t="s">
        <v>80</v>
      </c>
      <c r="B177" s="37"/>
      <c r="C177" s="13">
        <v>2</v>
      </c>
      <c r="D177" s="13">
        <v>1</v>
      </c>
      <c r="E177" s="13">
        <v>4</v>
      </c>
      <c r="F177" s="20">
        <v>7</v>
      </c>
      <c r="H177" s="59">
        <f>B177/B191</f>
        <v>0</v>
      </c>
      <c r="I177" s="59">
        <f>C177/C191</f>
        <v>1.3793103448275862E-2</v>
      </c>
      <c r="J177" s="59">
        <f>D177/D191</f>
        <v>1.1904761904761904E-2</v>
      </c>
      <c r="P177" s="64"/>
      <c r="Q177" s="19">
        <v>2005</v>
      </c>
      <c r="R177" s="37">
        <v>187.7</v>
      </c>
      <c r="S177" s="13"/>
      <c r="T177" s="13"/>
      <c r="U177" s="20">
        <v>187.7</v>
      </c>
    </row>
    <row r="178" spans="1:21">
      <c r="A178" s="19" t="s">
        <v>91</v>
      </c>
      <c r="B178" s="37"/>
      <c r="C178" s="13">
        <v>1</v>
      </c>
      <c r="D178" s="13">
        <v>3</v>
      </c>
      <c r="E178" s="13">
        <v>2</v>
      </c>
      <c r="F178" s="20">
        <v>6</v>
      </c>
      <c r="H178" s="59">
        <f>B178/B191</f>
        <v>0</v>
      </c>
      <c r="I178" s="59">
        <f>C178/C191</f>
        <v>6.8965517241379309E-3</v>
      </c>
      <c r="J178" s="59">
        <f>D178/D191</f>
        <v>3.5714285714285712E-2</v>
      </c>
      <c r="P178" s="64"/>
      <c r="Q178" s="19">
        <v>2007</v>
      </c>
      <c r="R178" s="37"/>
      <c r="S178" s="13"/>
      <c r="T178" s="13">
        <v>104.33333333333333</v>
      </c>
      <c r="U178" s="20">
        <v>104.33333333333333</v>
      </c>
    </row>
    <row r="179" spans="1:21">
      <c r="A179" s="19" t="s">
        <v>81</v>
      </c>
      <c r="B179" s="37"/>
      <c r="C179" s="13">
        <v>9</v>
      </c>
      <c r="D179" s="13">
        <v>1</v>
      </c>
      <c r="E179" s="13">
        <v>2</v>
      </c>
      <c r="F179" s="20">
        <v>12</v>
      </c>
      <c r="H179" s="59">
        <f>B179/B191</f>
        <v>0</v>
      </c>
      <c r="I179" s="59">
        <f>C179/C191</f>
        <v>6.2068965517241378E-2</v>
      </c>
      <c r="J179" s="59">
        <f>D179/D191</f>
        <v>1.1904761904761904E-2</v>
      </c>
      <c r="P179" s="64"/>
      <c r="Q179" s="19">
        <v>2008</v>
      </c>
      <c r="R179" s="37"/>
      <c r="S179" s="13"/>
      <c r="T179" s="13">
        <v>5</v>
      </c>
      <c r="U179" s="20">
        <v>5</v>
      </c>
    </row>
    <row r="180" spans="1:21">
      <c r="A180" s="19" t="s">
        <v>10</v>
      </c>
      <c r="B180" s="37"/>
      <c r="C180" s="13"/>
      <c r="D180" s="13">
        <v>1</v>
      </c>
      <c r="E180" s="13"/>
      <c r="F180" s="20">
        <v>1</v>
      </c>
      <c r="H180" s="59">
        <f>B180/B191</f>
        <v>0</v>
      </c>
      <c r="I180" s="59">
        <f>C180/C191</f>
        <v>0</v>
      </c>
      <c r="J180" s="59">
        <f>D180/D191</f>
        <v>1.1904761904761904E-2</v>
      </c>
      <c r="P180" s="64"/>
      <c r="Q180" s="19">
        <v>2009</v>
      </c>
      <c r="R180" s="37"/>
      <c r="S180" s="13"/>
      <c r="T180" s="13">
        <v>135.75</v>
      </c>
      <c r="U180" s="20">
        <v>135.75</v>
      </c>
    </row>
    <row r="181" spans="1:21">
      <c r="A181" s="19" t="s">
        <v>11</v>
      </c>
      <c r="B181" s="37"/>
      <c r="C181" s="13">
        <v>38</v>
      </c>
      <c r="D181" s="13">
        <v>9</v>
      </c>
      <c r="E181" s="13">
        <v>21</v>
      </c>
      <c r="F181" s="20">
        <v>68</v>
      </c>
      <c r="H181" s="59">
        <f>B181/B191</f>
        <v>0</v>
      </c>
      <c r="I181" s="59">
        <f>C181/C191</f>
        <v>0.2620689655172414</v>
      </c>
      <c r="J181" s="59">
        <f>D181/D191</f>
        <v>0.10714285714285714</v>
      </c>
      <c r="P181" s="64"/>
      <c r="Q181" s="19">
        <v>2010</v>
      </c>
      <c r="R181" s="37"/>
      <c r="S181" s="13"/>
      <c r="T181" s="13">
        <v>73.666666666666671</v>
      </c>
      <c r="U181" s="20">
        <v>73.666666666666671</v>
      </c>
    </row>
    <row r="182" spans="1:21">
      <c r="A182" s="19" t="s">
        <v>12</v>
      </c>
      <c r="B182" s="37"/>
      <c r="C182" s="13">
        <v>1</v>
      </c>
      <c r="D182" s="13"/>
      <c r="E182" s="13"/>
      <c r="F182" s="20">
        <v>1</v>
      </c>
      <c r="H182" s="59">
        <f>B182/B191</f>
        <v>0</v>
      </c>
      <c r="I182" s="59">
        <f>C182/C191</f>
        <v>6.8965517241379309E-3</v>
      </c>
      <c r="J182" s="59">
        <f>D182/D191</f>
        <v>0</v>
      </c>
      <c r="P182" s="64"/>
      <c r="Q182" s="19">
        <v>2011</v>
      </c>
      <c r="R182" s="37"/>
      <c r="S182" s="13"/>
      <c r="T182" s="13">
        <v>31</v>
      </c>
      <c r="U182" s="20">
        <v>31</v>
      </c>
    </row>
    <row r="183" spans="1:21">
      <c r="A183" s="19" t="s">
        <v>92</v>
      </c>
      <c r="B183" s="37"/>
      <c r="C183" s="13"/>
      <c r="D183" s="13">
        <v>1</v>
      </c>
      <c r="E183" s="13"/>
      <c r="F183" s="20">
        <v>1</v>
      </c>
      <c r="H183" s="59">
        <f>B183/B191</f>
        <v>0</v>
      </c>
      <c r="I183" s="59">
        <f>C183/C191</f>
        <v>0</v>
      </c>
      <c r="J183" s="59">
        <f>D183/D191</f>
        <v>1.1904761904761904E-2</v>
      </c>
      <c r="P183" s="64"/>
      <c r="Q183" s="19">
        <v>2012</v>
      </c>
      <c r="R183" s="37"/>
      <c r="S183" s="13"/>
      <c r="T183" s="13">
        <v>343</v>
      </c>
      <c r="U183" s="20">
        <v>343</v>
      </c>
    </row>
    <row r="184" spans="1:21">
      <c r="A184" s="19" t="s">
        <v>93</v>
      </c>
      <c r="B184" s="37"/>
      <c r="C184" s="13">
        <v>1</v>
      </c>
      <c r="D184" s="13">
        <v>2</v>
      </c>
      <c r="E184" s="13"/>
      <c r="F184" s="20">
        <v>3</v>
      </c>
      <c r="H184" s="59">
        <f>B184/B191</f>
        <v>0</v>
      </c>
      <c r="I184" s="59">
        <f>C184/C191</f>
        <v>6.8965517241379309E-3</v>
      </c>
      <c r="J184" s="59">
        <f>D184/D191</f>
        <v>2.3809523809523808E-2</v>
      </c>
      <c r="P184" s="64"/>
      <c r="Q184" s="19">
        <v>2013</v>
      </c>
      <c r="R184" s="37"/>
      <c r="S184" s="13"/>
      <c r="T184" s="13">
        <v>41</v>
      </c>
      <c r="U184" s="20">
        <v>41</v>
      </c>
    </row>
    <row r="185" spans="1:21">
      <c r="A185" s="19" t="s">
        <v>94</v>
      </c>
      <c r="B185" s="37"/>
      <c r="C185" s="13">
        <v>1</v>
      </c>
      <c r="D185" s="13"/>
      <c r="E185" s="13"/>
      <c r="F185" s="20">
        <v>1</v>
      </c>
      <c r="H185" s="59">
        <f>B185/B191</f>
        <v>0</v>
      </c>
      <c r="I185" s="59">
        <f>C185/C191</f>
        <v>6.8965517241379309E-3</v>
      </c>
      <c r="J185" s="59">
        <f>D185/D191</f>
        <v>0</v>
      </c>
      <c r="P185" s="64"/>
      <c r="Q185" s="19">
        <v>2014</v>
      </c>
      <c r="R185" s="37"/>
      <c r="S185" s="13"/>
      <c r="T185" s="13">
        <v>0</v>
      </c>
      <c r="U185" s="20">
        <v>0</v>
      </c>
    </row>
    <row r="186" spans="1:21">
      <c r="A186" s="19" t="s">
        <v>95</v>
      </c>
      <c r="B186" s="37"/>
      <c r="C186" s="13">
        <v>5</v>
      </c>
      <c r="D186" s="13">
        <v>2</v>
      </c>
      <c r="E186" s="13">
        <v>2</v>
      </c>
      <c r="F186" s="20">
        <v>9</v>
      </c>
      <c r="H186" s="59">
        <f>B186/B191</f>
        <v>0</v>
      </c>
      <c r="I186" s="59">
        <f>C186/C191</f>
        <v>3.4482758620689655E-2</v>
      </c>
      <c r="J186" s="59">
        <f>D186/D191</f>
        <v>2.3809523809523808E-2</v>
      </c>
      <c r="P186" s="16" t="s">
        <v>149</v>
      </c>
      <c r="Q186" s="21"/>
      <c r="R186" s="35">
        <v>216.13043478260869</v>
      </c>
      <c r="S186" s="36"/>
      <c r="T186" s="36">
        <v>96.1</v>
      </c>
      <c r="U186" s="18">
        <v>179.75757575757575</v>
      </c>
    </row>
    <row r="187" spans="1:21">
      <c r="A187" s="19" t="s">
        <v>96</v>
      </c>
      <c r="B187" s="37"/>
      <c r="C187" s="13">
        <v>1</v>
      </c>
      <c r="D187" s="13"/>
      <c r="E187" s="13"/>
      <c r="F187" s="20">
        <v>1</v>
      </c>
      <c r="H187" s="59">
        <f>B187/B191</f>
        <v>0</v>
      </c>
      <c r="I187" s="59">
        <f>C187/C191</f>
        <v>6.8965517241379309E-3</v>
      </c>
      <c r="J187" s="59">
        <f>D187/D191</f>
        <v>0</v>
      </c>
      <c r="P187" s="16" t="s">
        <v>3</v>
      </c>
      <c r="Q187" s="16">
        <v>2002</v>
      </c>
      <c r="R187" s="35">
        <v>9</v>
      </c>
      <c r="S187" s="36"/>
      <c r="T187" s="36"/>
      <c r="U187" s="18">
        <v>9</v>
      </c>
    </row>
    <row r="188" spans="1:21">
      <c r="A188" s="19" t="s">
        <v>97</v>
      </c>
      <c r="B188" s="37"/>
      <c r="C188" s="13">
        <v>2</v>
      </c>
      <c r="D188" s="13">
        <v>1</v>
      </c>
      <c r="E188" s="13">
        <v>3</v>
      </c>
      <c r="F188" s="20">
        <v>6</v>
      </c>
      <c r="H188" s="59">
        <f>B188/B191</f>
        <v>0</v>
      </c>
      <c r="I188" s="59">
        <f>C188/C191</f>
        <v>1.3793103448275862E-2</v>
      </c>
      <c r="J188" s="59">
        <f>D188/D191</f>
        <v>1.1904761904761904E-2</v>
      </c>
      <c r="P188" s="64"/>
      <c r="Q188" s="19">
        <v>2006</v>
      </c>
      <c r="R188" s="37">
        <v>226.6</v>
      </c>
      <c r="S188" s="13"/>
      <c r="T188" s="13"/>
      <c r="U188" s="20">
        <v>226.6</v>
      </c>
    </row>
    <row r="189" spans="1:21">
      <c r="A189" s="19" t="s">
        <v>98</v>
      </c>
      <c r="B189" s="37"/>
      <c r="C189" s="13">
        <v>4</v>
      </c>
      <c r="D189" s="13">
        <v>3</v>
      </c>
      <c r="E189" s="13">
        <v>1</v>
      </c>
      <c r="F189" s="20">
        <v>8</v>
      </c>
      <c r="H189" s="59">
        <f>B189/B191</f>
        <v>0</v>
      </c>
      <c r="I189" s="59">
        <f>C189/C191</f>
        <v>2.7586206896551724E-2</v>
      </c>
      <c r="J189" s="59">
        <f>D189/D191</f>
        <v>3.5714285714285712E-2</v>
      </c>
      <c r="P189" s="64"/>
      <c r="Q189" s="19">
        <v>2011</v>
      </c>
      <c r="R189" s="37"/>
      <c r="S189" s="13"/>
      <c r="T189" s="13">
        <v>124</v>
      </c>
      <c r="U189" s="20">
        <v>124</v>
      </c>
    </row>
    <row r="190" spans="1:21">
      <c r="A190" s="19" t="s">
        <v>99</v>
      </c>
      <c r="B190" s="37"/>
      <c r="C190" s="13"/>
      <c r="D190" s="13"/>
      <c r="E190" s="13"/>
      <c r="F190" s="20"/>
      <c r="H190" s="59"/>
      <c r="I190" s="59"/>
      <c r="J190" s="59"/>
      <c r="P190" s="64"/>
      <c r="Q190" s="19">
        <v>2014</v>
      </c>
      <c r="R190" s="37"/>
      <c r="S190" s="13"/>
      <c r="T190" s="13">
        <v>230</v>
      </c>
      <c r="U190" s="20">
        <v>230</v>
      </c>
    </row>
    <row r="191" spans="1:21">
      <c r="A191" s="33" t="s">
        <v>100</v>
      </c>
      <c r="B191" s="57">
        <v>11</v>
      </c>
      <c r="C191" s="56">
        <v>145</v>
      </c>
      <c r="D191" s="56">
        <v>84</v>
      </c>
      <c r="E191" s="56">
        <v>164</v>
      </c>
      <c r="F191" s="54">
        <v>404</v>
      </c>
      <c r="H191" s="59">
        <f>0/B191</f>
        <v>0</v>
      </c>
      <c r="I191" s="59">
        <f>0/42</f>
        <v>0</v>
      </c>
      <c r="J191" s="59">
        <f>4/B191</f>
        <v>0.36363636363636365</v>
      </c>
      <c r="P191" s="16" t="s">
        <v>152</v>
      </c>
      <c r="Q191" s="21"/>
      <c r="R191" s="35">
        <v>190.33333333333334</v>
      </c>
      <c r="S191" s="36"/>
      <c r="T191" s="36">
        <v>187.6</v>
      </c>
      <c r="U191" s="18">
        <v>189.09090909090909</v>
      </c>
    </row>
    <row r="192" spans="1:21">
      <c r="A192" s="66"/>
      <c r="B192" s="67"/>
      <c r="C192" s="68"/>
      <c r="D192" s="68"/>
      <c r="E192" s="68"/>
      <c r="G192" s="19"/>
      <c r="H192" s="59"/>
      <c r="I192" s="59"/>
      <c r="J192" s="59"/>
      <c r="P192" s="22" t="s">
        <v>88</v>
      </c>
      <c r="Q192" s="65"/>
      <c r="R192" s="61">
        <v>178.37068965517241</v>
      </c>
      <c r="S192" s="62">
        <v>39</v>
      </c>
      <c r="T192" s="62">
        <v>98.022222222222226</v>
      </c>
      <c r="U192" s="63">
        <v>155.19135802469137</v>
      </c>
    </row>
    <row r="193" spans="1:38">
      <c r="A193" s="66"/>
      <c r="B193" s="67"/>
      <c r="C193" s="68"/>
      <c r="D193" s="68"/>
      <c r="E193" s="68"/>
      <c r="G193" s="19"/>
      <c r="H193" s="59"/>
      <c r="I193" s="59"/>
      <c r="J193" s="59"/>
    </row>
    <row r="194" spans="1:38">
      <c r="A194" s="66"/>
      <c r="B194" s="67"/>
      <c r="C194" s="68"/>
      <c r="D194" s="68"/>
      <c r="E194" s="68"/>
      <c r="G194" s="19"/>
      <c r="H194" s="59"/>
      <c r="I194" s="59"/>
      <c r="J194" s="59"/>
    </row>
    <row r="195" spans="1:38">
      <c r="U195" t="str">
        <f>'pivot charts'!A199</f>
        <v>Area</v>
      </c>
    </row>
    <row r="196" spans="1:38">
      <c r="U196" s="16" t="s">
        <v>29</v>
      </c>
    </row>
    <row r="197" spans="1:38">
      <c r="V197" s="16">
        <f>'pivot charts'!B199</f>
        <v>1998</v>
      </c>
      <c r="W197" s="32">
        <f>'pivot charts'!C199</f>
        <v>1999</v>
      </c>
      <c r="X197" s="32">
        <f>'pivot charts'!D199</f>
        <v>2000</v>
      </c>
      <c r="Y197" s="32">
        <f>'pivot charts'!E199</f>
        <v>2001</v>
      </c>
      <c r="Z197" s="32">
        <f>'pivot charts'!F199</f>
        <v>2002</v>
      </c>
      <c r="AA197" s="32">
        <f>'pivot charts'!G199</f>
        <v>2003</v>
      </c>
      <c r="AB197" s="32">
        <f>'pivot charts'!H199</f>
        <v>2004</v>
      </c>
      <c r="AC197" s="32">
        <f>'pivot charts'!I199</f>
        <v>2005</v>
      </c>
      <c r="AD197" s="32">
        <f>'pivot charts'!J199</f>
        <v>2006</v>
      </c>
      <c r="AE197" s="32">
        <f>'pivot charts'!K199</f>
        <v>2007</v>
      </c>
      <c r="AF197" s="32">
        <f>'pivot charts'!L199</f>
        <v>2008</v>
      </c>
      <c r="AG197" s="32">
        <f>'pivot charts'!M199</f>
        <v>2009</v>
      </c>
      <c r="AH197" s="32">
        <f>'pivot charts'!N199</f>
        <v>2010</v>
      </c>
      <c r="AI197" s="32">
        <f>'pivot charts'!O199</f>
        <v>2011</v>
      </c>
      <c r="AJ197" s="32">
        <f>'pivot charts'!P199</f>
        <v>2012</v>
      </c>
      <c r="AK197" s="32">
        <f>'pivot charts'!Q199</f>
        <v>2013</v>
      </c>
      <c r="AL197" s="17">
        <f>'pivot charts'!R199</f>
        <v>2014</v>
      </c>
    </row>
    <row r="198" spans="1:38">
      <c r="A198" s="25" t="s">
        <v>9</v>
      </c>
      <c r="B198" s="25" t="s">
        <v>70</v>
      </c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34"/>
      <c r="U198" s="16" t="str">
        <f>'pivot charts'!A200</f>
        <v>Panne</v>
      </c>
      <c r="V198" s="35"/>
      <c r="W198" s="36"/>
      <c r="X198" s="36"/>
      <c r="Y198" s="36"/>
      <c r="Z198" s="36"/>
      <c r="AA198" s="36"/>
      <c r="AB198" s="36"/>
      <c r="AC198" s="36"/>
      <c r="AD198" s="36">
        <f>'pivot charts'!J200</f>
        <v>226.6</v>
      </c>
      <c r="AE198" s="36"/>
      <c r="AF198" s="36"/>
      <c r="AG198" s="36"/>
      <c r="AH198" s="36"/>
      <c r="AI198" s="36">
        <f>'pivot charts'!O200</f>
        <v>124</v>
      </c>
      <c r="AJ198" s="36"/>
      <c r="AK198" s="36"/>
      <c r="AL198" s="18">
        <f>'pivot charts'!R200</f>
        <v>172.5</v>
      </c>
    </row>
    <row r="199" spans="1:38">
      <c r="A199" s="25" t="s">
        <v>29</v>
      </c>
      <c r="B199" s="16">
        <v>1998</v>
      </c>
      <c r="C199" s="32">
        <v>1999</v>
      </c>
      <c r="D199" s="32">
        <v>2000</v>
      </c>
      <c r="E199" s="32">
        <v>2001</v>
      </c>
      <c r="F199" s="32">
        <v>2002</v>
      </c>
      <c r="G199" s="32">
        <v>2003</v>
      </c>
      <c r="H199" s="32">
        <v>2004</v>
      </c>
      <c r="I199" s="32">
        <v>2005</v>
      </c>
      <c r="J199" s="32">
        <v>2006</v>
      </c>
      <c r="K199" s="32">
        <v>2007</v>
      </c>
      <c r="L199" s="32">
        <v>2008</v>
      </c>
      <c r="M199" s="32">
        <v>2009</v>
      </c>
      <c r="N199" s="32">
        <v>2010</v>
      </c>
      <c r="O199" s="32">
        <v>2011</v>
      </c>
      <c r="P199" s="32">
        <v>2012</v>
      </c>
      <c r="Q199" s="32">
        <v>2013</v>
      </c>
      <c r="R199" s="32">
        <v>2014</v>
      </c>
      <c r="S199" s="17" t="s">
        <v>88</v>
      </c>
      <c r="U199" s="19" t="str">
        <f>'pivot charts'!A201</f>
        <v>River downstream</v>
      </c>
      <c r="V199" s="37">
        <f>'pivot charts'!B201</f>
        <v>42.782608695652172</v>
      </c>
      <c r="W199" s="13">
        <f>'pivot charts'!C201</f>
        <v>68.142857142857139</v>
      </c>
      <c r="X199" s="13">
        <f>'pivot charts'!D201</f>
        <v>44.9</v>
      </c>
      <c r="Y199" s="13">
        <f>'pivot charts'!E201</f>
        <v>60.904761904761905</v>
      </c>
      <c r="Z199" s="13">
        <f>'pivot charts'!F201</f>
        <v>55.166666666666664</v>
      </c>
      <c r="AA199" s="13">
        <f>'pivot charts'!G201</f>
        <v>49.8</v>
      </c>
      <c r="AB199" s="13">
        <f>'pivot charts'!H201</f>
        <v>79.625</v>
      </c>
      <c r="AC199" s="13">
        <f>'pivot charts'!I201</f>
        <v>106</v>
      </c>
      <c r="AD199" s="13">
        <f>'pivot charts'!J201</f>
        <v>147</v>
      </c>
      <c r="AE199" s="13">
        <f>'pivot charts'!K201</f>
        <v>87.666666666666671</v>
      </c>
      <c r="AF199" s="13">
        <f>'pivot charts'!L201</f>
        <v>48.6</v>
      </c>
      <c r="AG199" s="13">
        <f>'pivot charts'!M201</f>
        <v>56.25</v>
      </c>
      <c r="AH199" s="13">
        <f>'pivot charts'!N201</f>
        <v>85.25</v>
      </c>
      <c r="AI199" s="13">
        <f>'pivot charts'!O201</f>
        <v>65.25</v>
      </c>
      <c r="AJ199" s="13">
        <f>'pivot charts'!P201</f>
        <v>75</v>
      </c>
      <c r="AK199" s="13">
        <f>'pivot charts'!Q201</f>
        <v>75.333333333333329</v>
      </c>
      <c r="AL199" s="20">
        <f>'pivot charts'!R201</f>
        <v>52.5</v>
      </c>
    </row>
    <row r="200" spans="1:38">
      <c r="A200" s="16" t="s">
        <v>57</v>
      </c>
      <c r="B200" s="35"/>
      <c r="C200" s="36"/>
      <c r="D200" s="36"/>
      <c r="E200" s="36"/>
      <c r="F200" s="36"/>
      <c r="G200" s="36"/>
      <c r="H200" s="36"/>
      <c r="I200" s="36"/>
      <c r="J200" s="36">
        <v>226.6</v>
      </c>
      <c r="K200" s="36"/>
      <c r="L200" s="36"/>
      <c r="M200" s="36"/>
      <c r="N200" s="36"/>
      <c r="O200" s="36">
        <v>124</v>
      </c>
      <c r="P200" s="36"/>
      <c r="Q200" s="36"/>
      <c r="R200" s="36">
        <v>172.5</v>
      </c>
      <c r="S200" s="18">
        <v>188.27272727272728</v>
      </c>
      <c r="U200" s="19" t="str">
        <f>'pivot charts'!A202</f>
        <v>River upstream</v>
      </c>
      <c r="V200" s="37">
        <f>'pivot charts'!B202</f>
        <v>1.2222222222222223</v>
      </c>
      <c r="W200" s="13">
        <f>'pivot charts'!C202</f>
        <v>8.25</v>
      </c>
      <c r="X200" s="13">
        <f>'pivot charts'!D202</f>
        <v>6.1428571428571432</v>
      </c>
      <c r="Y200" s="13">
        <f>'pivot charts'!E202</f>
        <v>0.22222222222222221</v>
      </c>
      <c r="Z200" s="13">
        <f>'pivot charts'!F202</f>
        <v>3.3333333333333335</v>
      </c>
      <c r="AA200" s="13">
        <f>'pivot charts'!G202</f>
        <v>49.3</v>
      </c>
      <c r="AB200" s="13">
        <f>'pivot charts'!H202</f>
        <v>65.142857142857139</v>
      </c>
      <c r="AC200" s="13">
        <f>'pivot charts'!I202</f>
        <v>45.8</v>
      </c>
      <c r="AD200" s="13">
        <f>'pivot charts'!J202</f>
        <v>0</v>
      </c>
      <c r="AE200" s="13">
        <f>'pivot charts'!K202</f>
        <v>0.33333333333333331</v>
      </c>
      <c r="AF200" s="13">
        <f>'pivot charts'!L202</f>
        <v>0</v>
      </c>
      <c r="AG200" s="13">
        <f>'pivot charts'!M202</f>
        <v>15.5</v>
      </c>
      <c r="AH200" s="13">
        <f>'pivot charts'!N202</f>
        <v>151</v>
      </c>
      <c r="AI200" s="13">
        <f>'pivot charts'!O202</f>
        <v>15.75</v>
      </c>
      <c r="AJ200" s="13">
        <f>'pivot charts'!P202</f>
        <v>12</v>
      </c>
      <c r="AK200" s="13">
        <f>'pivot charts'!Q202</f>
        <v>108</v>
      </c>
      <c r="AL200" s="20">
        <f>'pivot charts'!R202</f>
        <v>38.75</v>
      </c>
    </row>
    <row r="201" spans="1:38">
      <c r="A201" s="19" t="s">
        <v>55</v>
      </c>
      <c r="B201" s="37">
        <v>42.782608695652172</v>
      </c>
      <c r="C201" s="13">
        <v>68.142857142857139</v>
      </c>
      <c r="D201" s="13">
        <v>44.9</v>
      </c>
      <c r="E201" s="13">
        <v>60.904761904761905</v>
      </c>
      <c r="F201" s="13">
        <v>55.166666666666664</v>
      </c>
      <c r="G201" s="13">
        <v>49.8</v>
      </c>
      <c r="H201" s="13">
        <v>79.625</v>
      </c>
      <c r="I201" s="13">
        <v>106</v>
      </c>
      <c r="J201" s="13">
        <v>147</v>
      </c>
      <c r="K201" s="13">
        <v>87.666666666666671</v>
      </c>
      <c r="L201" s="13">
        <v>48.6</v>
      </c>
      <c r="M201" s="13">
        <v>56.25</v>
      </c>
      <c r="N201" s="13">
        <v>85.25</v>
      </c>
      <c r="O201" s="13">
        <v>65.25</v>
      </c>
      <c r="P201" s="13">
        <v>75</v>
      </c>
      <c r="Q201" s="13">
        <v>75.333333333333329</v>
      </c>
      <c r="R201" s="13">
        <v>52.5</v>
      </c>
      <c r="S201" s="20">
        <v>62.255319148936174</v>
      </c>
      <c r="U201" s="19" t="str">
        <f>'pivot charts'!A203</f>
        <v>Constructed Panne</v>
      </c>
      <c r="V201" s="37">
        <f>'pivot charts'!B203</f>
        <v>0</v>
      </c>
      <c r="W201" s="13">
        <f>'pivot charts'!C203</f>
        <v>159.16666666666666</v>
      </c>
      <c r="X201" s="13">
        <f>'pivot charts'!D203</f>
        <v>201.38461538461539</v>
      </c>
      <c r="Y201" s="13">
        <f>'pivot charts'!E203</f>
        <v>171.88235294117646</v>
      </c>
      <c r="Z201" s="13">
        <f>'pivot charts'!F203</f>
        <v>172.73333333333332</v>
      </c>
      <c r="AA201" s="13">
        <f>'pivot charts'!G203</f>
        <v>148.1904761904762</v>
      </c>
      <c r="AB201" s="13">
        <f>'pivot charts'!H203</f>
        <v>242.85714285714286</v>
      </c>
      <c r="AC201" s="13">
        <f>'pivot charts'!I203</f>
        <v>158.38095238095238</v>
      </c>
      <c r="AD201" s="13">
        <f>'pivot charts'!J203</f>
        <v>116.25</v>
      </c>
      <c r="AE201" s="13">
        <f>'pivot charts'!K203</f>
        <v>85.5</v>
      </c>
      <c r="AF201" s="13">
        <f>'pivot charts'!L203</f>
        <v>16.2</v>
      </c>
      <c r="AG201" s="13">
        <f>'pivot charts'!M203</f>
        <v>88.5</v>
      </c>
      <c r="AH201" s="13">
        <f>'pivot charts'!N203</f>
        <v>97.75</v>
      </c>
      <c r="AI201" s="13">
        <f>'pivot charts'!O203</f>
        <v>56.333333333333336</v>
      </c>
      <c r="AJ201" s="13">
        <f>'pivot charts'!P203</f>
        <v>343</v>
      </c>
      <c r="AK201" s="13">
        <f>'pivot charts'!Q203</f>
        <v>143</v>
      </c>
      <c r="AL201" s="20">
        <f>'pivot charts'!R203</f>
        <v>0</v>
      </c>
    </row>
    <row r="202" spans="1:38">
      <c r="A202" s="19" t="s">
        <v>56</v>
      </c>
      <c r="B202" s="37">
        <v>1.2222222222222223</v>
      </c>
      <c r="C202" s="13">
        <v>8.25</v>
      </c>
      <c r="D202" s="13">
        <v>6.1428571428571432</v>
      </c>
      <c r="E202" s="13">
        <v>0.22222222222222221</v>
      </c>
      <c r="F202" s="13">
        <v>3.3333333333333335</v>
      </c>
      <c r="G202" s="13">
        <v>49.3</v>
      </c>
      <c r="H202" s="13">
        <v>65.142857142857139</v>
      </c>
      <c r="I202" s="13">
        <v>45.8</v>
      </c>
      <c r="J202" s="13"/>
      <c r="K202" s="13">
        <v>0.33333333333333331</v>
      </c>
      <c r="L202" s="13">
        <v>0</v>
      </c>
      <c r="M202" s="13">
        <v>15.5</v>
      </c>
      <c r="N202" s="13">
        <v>151</v>
      </c>
      <c r="O202" s="13">
        <v>15.75</v>
      </c>
      <c r="P202" s="13">
        <v>12</v>
      </c>
      <c r="Q202" s="13">
        <v>108</v>
      </c>
      <c r="R202" s="13">
        <v>38.75</v>
      </c>
      <c r="S202" s="20">
        <v>30.962962962962962</v>
      </c>
    </row>
    <row r="203" spans="1:38">
      <c r="A203" s="19" t="s">
        <v>138</v>
      </c>
      <c r="B203" s="37"/>
      <c r="C203" s="13">
        <v>159.16666666666666</v>
      </c>
      <c r="D203" s="13">
        <v>201.38461538461539</v>
      </c>
      <c r="E203" s="13">
        <v>171.88235294117646</v>
      </c>
      <c r="F203" s="13">
        <v>172.73333333333332</v>
      </c>
      <c r="G203" s="13">
        <v>148.1904761904762</v>
      </c>
      <c r="H203" s="13">
        <v>242.85714285714286</v>
      </c>
      <c r="I203" s="13">
        <v>158.38095238095238</v>
      </c>
      <c r="J203" s="13">
        <v>116.25</v>
      </c>
      <c r="K203" s="13">
        <v>85.5</v>
      </c>
      <c r="L203" s="13">
        <v>16.2</v>
      </c>
      <c r="M203" s="13">
        <v>88.5</v>
      </c>
      <c r="N203" s="13">
        <v>97.75</v>
      </c>
      <c r="O203" s="13">
        <v>56.333333333333336</v>
      </c>
      <c r="P203" s="13">
        <v>343</v>
      </c>
      <c r="Q203" s="13">
        <v>143</v>
      </c>
      <c r="R203" s="13">
        <v>0</v>
      </c>
      <c r="S203" s="20">
        <v>147.56521739130434</v>
      </c>
    </row>
    <row r="204" spans="1:38">
      <c r="A204" s="22" t="s">
        <v>88</v>
      </c>
      <c r="B204" s="61">
        <v>31.09375</v>
      </c>
      <c r="C204" s="62">
        <v>86.17647058823529</v>
      </c>
      <c r="D204" s="62">
        <v>88.974999999999994</v>
      </c>
      <c r="E204" s="62">
        <v>89.425531914893611</v>
      </c>
      <c r="F204" s="62">
        <v>108.96296296296296</v>
      </c>
      <c r="G204" s="62">
        <v>100.07317073170732</v>
      </c>
      <c r="H204" s="62">
        <v>138.64864864864865</v>
      </c>
      <c r="I204" s="62">
        <v>131.7741935483871</v>
      </c>
      <c r="J204" s="62">
        <v>155.94117647058823</v>
      </c>
      <c r="K204" s="62">
        <v>64.75</v>
      </c>
      <c r="L204" s="62">
        <v>25.3125</v>
      </c>
      <c r="M204" s="62">
        <v>62.1875</v>
      </c>
      <c r="N204" s="62">
        <v>107.9375</v>
      </c>
      <c r="O204" s="62">
        <v>56.875</v>
      </c>
      <c r="P204" s="62">
        <v>169.6</v>
      </c>
      <c r="Q204" s="62">
        <v>115</v>
      </c>
      <c r="R204" s="62">
        <v>81.15384615384616</v>
      </c>
      <c r="S204" s="63">
        <v>94.200507614213194</v>
      </c>
    </row>
    <row r="214" spans="5:13">
      <c r="E214" s="25" t="s">
        <v>9</v>
      </c>
      <c r="F214" s="25" t="s">
        <v>29</v>
      </c>
      <c r="G214" s="21"/>
      <c r="H214" s="34"/>
    </row>
    <row r="215" spans="5:13">
      <c r="E215" s="25" t="s">
        <v>113</v>
      </c>
      <c r="F215" s="16" t="s">
        <v>55</v>
      </c>
      <c r="G215" s="32" t="s">
        <v>56</v>
      </c>
      <c r="H215" s="17" t="s">
        <v>88</v>
      </c>
      <c r="L215" s="16" t="s">
        <v>55</v>
      </c>
      <c r="M215" s="32" t="s">
        <v>56</v>
      </c>
    </row>
    <row r="216" spans="5:13">
      <c r="E216" s="16" t="s">
        <v>131</v>
      </c>
      <c r="F216" s="35">
        <v>61.20967741935484</v>
      </c>
      <c r="G216" s="36"/>
      <c r="H216" s="18">
        <v>61.20967741935484</v>
      </c>
      <c r="K216" s="76" t="s">
        <v>136</v>
      </c>
      <c r="L216" s="35">
        <v>61.20967741935484</v>
      </c>
      <c r="M216" s="13">
        <v>20.76923076923077</v>
      </c>
    </row>
    <row r="217" spans="5:13">
      <c r="E217" s="19" t="s">
        <v>129</v>
      </c>
      <c r="F217" s="37">
        <v>74.25</v>
      </c>
      <c r="G217" s="13">
        <v>72.375</v>
      </c>
      <c r="H217" s="20">
        <v>73.3125</v>
      </c>
      <c r="K217" s="76" t="s">
        <v>137</v>
      </c>
      <c r="L217" s="37">
        <f>'pivot charts'!F217</f>
        <v>74.25</v>
      </c>
      <c r="M217" s="13">
        <f>'pivot charts'!G217</f>
        <v>72.375</v>
      </c>
    </row>
    <row r="218" spans="5:13">
      <c r="E218" s="19" t="s">
        <v>130</v>
      </c>
      <c r="F218" s="37"/>
      <c r="G218" s="13">
        <v>20.76923076923077</v>
      </c>
      <c r="H218" s="20">
        <v>20.76923076923077</v>
      </c>
    </row>
    <row r="219" spans="5:13">
      <c r="E219" s="22" t="s">
        <v>88</v>
      </c>
      <c r="F219" s="61">
        <v>62.7</v>
      </c>
      <c r="G219" s="62">
        <v>30.962962962962962</v>
      </c>
      <c r="H219" s="63">
        <v>51.067873303167424</v>
      </c>
    </row>
    <row r="227" spans="2:28">
      <c r="B227" s="25" t="s">
        <v>9</v>
      </c>
      <c r="C227" s="25" t="s">
        <v>70</v>
      </c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34"/>
    </row>
    <row r="228" spans="2:28">
      <c r="B228" s="25" t="s">
        <v>29</v>
      </c>
      <c r="C228" s="16">
        <v>1999</v>
      </c>
      <c r="D228" s="32">
        <v>2000</v>
      </c>
      <c r="E228" s="32">
        <v>2001</v>
      </c>
      <c r="F228" s="32">
        <v>2002</v>
      </c>
      <c r="G228" s="32">
        <v>2003</v>
      </c>
      <c r="H228" s="32">
        <v>2004</v>
      </c>
      <c r="I228" s="32">
        <v>2005</v>
      </c>
      <c r="J228" s="32">
        <v>2006</v>
      </c>
      <c r="K228" s="32">
        <v>2007</v>
      </c>
      <c r="L228" s="32">
        <v>2008</v>
      </c>
      <c r="M228" s="32">
        <v>2009</v>
      </c>
      <c r="N228" s="32">
        <v>2010</v>
      </c>
      <c r="O228" s="32">
        <v>2011</v>
      </c>
      <c r="P228" s="32">
        <v>2012</v>
      </c>
      <c r="Q228" s="32">
        <v>2013</v>
      </c>
      <c r="R228" s="32">
        <v>2014</v>
      </c>
      <c r="S228" s="17" t="s">
        <v>88</v>
      </c>
    </row>
    <row r="229" spans="2:28">
      <c r="B229" s="16" t="s">
        <v>138</v>
      </c>
      <c r="C229" s="35">
        <v>159.16666666666666</v>
      </c>
      <c r="D229" s="36">
        <v>201.38461538461539</v>
      </c>
      <c r="E229" s="36">
        <v>171.88235294117646</v>
      </c>
      <c r="F229" s="36">
        <v>172.73333333333332</v>
      </c>
      <c r="G229" s="36">
        <v>148.1904761904762</v>
      </c>
      <c r="H229" s="36">
        <v>242.85714285714286</v>
      </c>
      <c r="I229" s="36">
        <v>158.38095238095238</v>
      </c>
      <c r="J229" s="36">
        <v>116.25</v>
      </c>
      <c r="K229" s="36">
        <v>85.5</v>
      </c>
      <c r="L229" s="36">
        <v>16.2</v>
      </c>
      <c r="M229" s="36">
        <v>88.5</v>
      </c>
      <c r="N229" s="36">
        <v>97.75</v>
      </c>
      <c r="O229" s="36">
        <v>56.333333333333336</v>
      </c>
      <c r="P229" s="36">
        <v>343</v>
      </c>
      <c r="Q229" s="36">
        <v>143</v>
      </c>
      <c r="R229" s="36">
        <v>0</v>
      </c>
      <c r="S229" s="18">
        <v>147.56521739130434</v>
      </c>
    </row>
    <row r="230" spans="2:28">
      <c r="B230" s="22" t="s">
        <v>88</v>
      </c>
      <c r="C230" s="61">
        <v>159.16666666666666</v>
      </c>
      <c r="D230" s="62">
        <v>201.38461538461539</v>
      </c>
      <c r="E230" s="62">
        <v>171.88235294117646</v>
      </c>
      <c r="F230" s="62">
        <v>172.73333333333332</v>
      </c>
      <c r="G230" s="62">
        <v>148.1904761904762</v>
      </c>
      <c r="H230" s="62">
        <v>242.85714285714286</v>
      </c>
      <c r="I230" s="62">
        <v>158.38095238095238</v>
      </c>
      <c r="J230" s="62">
        <v>116.25</v>
      </c>
      <c r="K230" s="62">
        <v>85.5</v>
      </c>
      <c r="L230" s="62">
        <v>16.2</v>
      </c>
      <c r="M230" s="62">
        <v>88.5</v>
      </c>
      <c r="N230" s="62">
        <v>97.75</v>
      </c>
      <c r="O230" s="62">
        <v>56.333333333333336</v>
      </c>
      <c r="P230" s="62">
        <v>343</v>
      </c>
      <c r="Q230" s="62">
        <v>143</v>
      </c>
      <c r="R230" s="62">
        <v>0</v>
      </c>
      <c r="S230" s="63">
        <v>147.56521739130434</v>
      </c>
    </row>
    <row r="235" spans="2:28">
      <c r="L235" s="16" t="s">
        <v>9</v>
      </c>
    </row>
    <row r="236" spans="2:28">
      <c r="L236" s="16" t="str">
        <f>'pivot charts'!B228</f>
        <v>Area</v>
      </c>
      <c r="M236" s="16" t="s">
        <v>70</v>
      </c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</row>
    <row r="237" spans="2:28">
      <c r="M237" s="16">
        <f>'pivot charts'!C228</f>
        <v>1999</v>
      </c>
      <c r="N237" s="32">
        <f>'pivot charts'!D228</f>
        <v>2000</v>
      </c>
      <c r="O237" s="32">
        <f>'pivot charts'!E228</f>
        <v>2001</v>
      </c>
      <c r="P237" s="32">
        <f>'pivot charts'!F228</f>
        <v>2002</v>
      </c>
      <c r="Q237" s="32">
        <f>'pivot charts'!G228</f>
        <v>2003</v>
      </c>
      <c r="R237" s="32">
        <f>'pivot charts'!H228</f>
        <v>2004</v>
      </c>
      <c r="S237" s="32">
        <f>'pivot charts'!I228</f>
        <v>2005</v>
      </c>
      <c r="T237" s="32">
        <f>'pivot charts'!J228</f>
        <v>2006</v>
      </c>
      <c r="U237" s="32">
        <f>'pivot charts'!K228</f>
        <v>2007</v>
      </c>
      <c r="V237" s="32">
        <f>'pivot charts'!L228</f>
        <v>2008</v>
      </c>
      <c r="W237" s="32">
        <f>'pivot charts'!M228</f>
        <v>2009</v>
      </c>
      <c r="X237" s="32">
        <f>'pivot charts'!N228</f>
        <v>2010</v>
      </c>
      <c r="Y237" s="32">
        <f>'pivot charts'!O228</f>
        <v>2011</v>
      </c>
      <c r="Z237" s="32">
        <f>'pivot charts'!P228</f>
        <v>2012</v>
      </c>
      <c r="AA237" s="32">
        <f>'pivot charts'!Q228</f>
        <v>2013</v>
      </c>
      <c r="AB237" s="32">
        <f>'pivot charts'!R228</f>
        <v>2014</v>
      </c>
    </row>
    <row r="238" spans="2:28">
      <c r="L238" s="16" t="str">
        <f>'pivot charts'!B229</f>
        <v>Constructed Panne</v>
      </c>
      <c r="M238" s="35">
        <f>'pivot charts'!C229</f>
        <v>159.16666666666666</v>
      </c>
      <c r="N238" s="36">
        <f>'pivot charts'!D229</f>
        <v>201.38461538461539</v>
      </c>
      <c r="O238" s="36">
        <f>'pivot charts'!E229</f>
        <v>171.88235294117646</v>
      </c>
      <c r="P238" s="36">
        <f>'pivot charts'!F229</f>
        <v>172.73333333333332</v>
      </c>
      <c r="Q238" s="36">
        <f>'pivot charts'!G229</f>
        <v>148.1904761904762</v>
      </c>
      <c r="R238" s="36">
        <f>'pivot charts'!H229</f>
        <v>242.85714285714286</v>
      </c>
      <c r="S238" s="36">
        <f>'pivot charts'!I229</f>
        <v>158.38095238095238</v>
      </c>
      <c r="T238" s="36">
        <f>'pivot charts'!J229</f>
        <v>116.25</v>
      </c>
      <c r="U238" s="36">
        <f>'pivot charts'!K229</f>
        <v>85.5</v>
      </c>
      <c r="V238" s="36">
        <f>'pivot charts'!L229</f>
        <v>16.2</v>
      </c>
      <c r="W238" s="36">
        <f>'pivot charts'!M229</f>
        <v>88.5</v>
      </c>
      <c r="X238" s="36">
        <f>'pivot charts'!N229</f>
        <v>97.75</v>
      </c>
      <c r="Y238" s="36">
        <f>'pivot charts'!O229</f>
        <v>56.333333333333336</v>
      </c>
      <c r="Z238" s="36">
        <f>'pivot charts'!P229</f>
        <v>343</v>
      </c>
      <c r="AA238" s="36">
        <f>'pivot charts'!Q229</f>
        <v>143</v>
      </c>
      <c r="AB238" s="36">
        <f>'pivot charts'!R229</f>
        <v>0</v>
      </c>
    </row>
    <row r="239" spans="2:28">
      <c r="L239" s="22" t="str">
        <f>'pivot charts'!B230</f>
        <v>Grand Total</v>
      </c>
      <c r="M239" s="61">
        <f>'pivot charts'!C230</f>
        <v>159.16666666666666</v>
      </c>
      <c r="N239" s="62">
        <f>'pivot charts'!D230</f>
        <v>201.38461538461539</v>
      </c>
      <c r="O239" s="62">
        <f>'pivot charts'!E230</f>
        <v>171.88235294117646</v>
      </c>
      <c r="P239" s="62">
        <f>'pivot charts'!F230</f>
        <v>172.73333333333332</v>
      </c>
      <c r="Q239" s="62">
        <f>'pivot charts'!G230</f>
        <v>148.1904761904762</v>
      </c>
      <c r="R239" s="62">
        <f>'pivot charts'!H230</f>
        <v>242.85714285714286</v>
      </c>
      <c r="S239" s="62">
        <f>'pivot charts'!I230</f>
        <v>158.38095238095238</v>
      </c>
      <c r="T239" s="62">
        <f>'pivot charts'!J230</f>
        <v>116.25</v>
      </c>
      <c r="U239" s="62">
        <f>'pivot charts'!K230</f>
        <v>85.5</v>
      </c>
      <c r="V239" s="62">
        <f>'pivot charts'!L230</f>
        <v>16.2</v>
      </c>
      <c r="W239" s="62">
        <f>'pivot charts'!M230</f>
        <v>88.5</v>
      </c>
      <c r="X239" s="62">
        <f>'pivot charts'!N230</f>
        <v>97.75</v>
      </c>
      <c r="Y239" s="62">
        <f>'pivot charts'!O230</f>
        <v>56.333333333333336</v>
      </c>
      <c r="Z239" s="62">
        <f>'pivot charts'!P230</f>
        <v>343</v>
      </c>
      <c r="AA239" s="62">
        <f>'pivot charts'!Q230</f>
        <v>143</v>
      </c>
      <c r="AB239" s="62">
        <f>'pivot charts'!R230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view="pageBreakPreview" topLeftCell="A43" zoomScaleNormal="100" zoomScaleSheetLayoutView="100" workbookViewId="0">
      <selection activeCell="G175" sqref="G175"/>
    </sheetView>
  </sheetViews>
  <sheetFormatPr defaultRowHeight="12.75"/>
  <sheetData/>
  <phoneticPr fontId="0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tabSelected="1" view="pageBreakPreview" zoomScaleNormal="100" zoomScaleSheetLayoutView="100" workbookViewId="0">
      <selection activeCell="I26" sqref="I26"/>
    </sheetView>
  </sheetViews>
  <sheetFormatPr defaultRowHeight="12.75"/>
  <sheetData/>
  <phoneticPr fontId="0" type="noConversion"/>
  <pageMargins left="0.75" right="0.75" top="1" bottom="1" header="0.5" footer="0.5"/>
  <pageSetup orientation="portrait" r:id="rId1"/>
  <headerFooter alignWithMargins="0"/>
  <colBreaks count="1" manualBreakCount="1">
    <brk id="18" max="112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O8"/>
  <sheetViews>
    <sheetView workbookViewId="0">
      <selection activeCell="G30" sqref="G30"/>
    </sheetView>
  </sheetViews>
  <sheetFormatPr defaultRowHeight="12.75"/>
  <cols>
    <col min="1" max="1" width="10.140625" bestFit="1" customWidth="1"/>
    <col min="2" max="2" width="7.42578125" bestFit="1" customWidth="1"/>
    <col min="3" max="3" width="10.85546875" bestFit="1" customWidth="1"/>
    <col min="4" max="4" width="13.42578125" bestFit="1" customWidth="1"/>
    <col min="5" max="5" width="10.28515625" bestFit="1" customWidth="1"/>
    <col min="6" max="6" width="5.140625" bestFit="1" customWidth="1"/>
    <col min="7" max="7" width="7.7109375" bestFit="1" customWidth="1"/>
    <col min="8" max="8" width="12.140625" bestFit="1" customWidth="1"/>
    <col min="9" max="11" width="19.42578125" bestFit="1" customWidth="1"/>
    <col min="12" max="12" width="11.42578125" bestFit="1" customWidth="1"/>
    <col min="13" max="13" width="14.28515625" bestFit="1" customWidth="1"/>
    <col min="14" max="14" width="16.7109375" bestFit="1" customWidth="1"/>
    <col min="15" max="15" width="17.85546875" bestFit="1" customWidth="1"/>
    <col min="16" max="16" width="16.28515625" bestFit="1" customWidth="1"/>
    <col min="17" max="17" width="13.28515625" bestFit="1" customWidth="1"/>
    <col min="18" max="18" width="10" bestFit="1" customWidth="1"/>
    <col min="19" max="19" width="3.85546875" bestFit="1" customWidth="1"/>
    <col min="20" max="20" width="12.42578125" bestFit="1" customWidth="1"/>
    <col min="21" max="21" width="9.28515625" bestFit="1" customWidth="1"/>
    <col min="22" max="22" width="12" bestFit="1" customWidth="1"/>
    <col min="23" max="23" width="9.85546875" bestFit="1" customWidth="1"/>
    <col min="24" max="24" width="9.42578125" bestFit="1" customWidth="1"/>
    <col min="25" max="25" width="11.42578125" bestFit="1" customWidth="1"/>
    <col min="26" max="26" width="5.85546875" bestFit="1" customWidth="1"/>
    <col min="27" max="27" width="19.28515625" bestFit="1" customWidth="1"/>
    <col min="28" max="28" width="18.85546875" bestFit="1" customWidth="1"/>
    <col min="29" max="29" width="9.7109375" bestFit="1" customWidth="1"/>
    <col min="30" max="30" width="10.140625" bestFit="1" customWidth="1"/>
    <col min="31" max="31" width="14.5703125" bestFit="1" customWidth="1"/>
    <col min="32" max="32" width="12.42578125" bestFit="1" customWidth="1"/>
    <col min="33" max="33" width="10.42578125" bestFit="1" customWidth="1"/>
    <col min="34" max="34" width="7" bestFit="1" customWidth="1"/>
    <col min="35" max="35" width="6.85546875" bestFit="1" customWidth="1"/>
    <col min="36" max="36" width="22.7109375" bestFit="1" customWidth="1"/>
    <col min="37" max="37" width="23.140625" bestFit="1" customWidth="1"/>
    <col min="38" max="38" width="16.42578125" bestFit="1" customWidth="1"/>
    <col min="39" max="39" width="8" bestFit="1" customWidth="1"/>
    <col min="40" max="40" width="16.85546875" bestFit="1" customWidth="1"/>
    <col min="41" max="41" width="10.5703125" bestFit="1" customWidth="1"/>
  </cols>
  <sheetData>
    <row r="1" spans="1:41" ht="13.5" thickBot="1">
      <c r="A1" s="72" t="s">
        <v>26</v>
      </c>
      <c r="B1" s="72" t="s">
        <v>27</v>
      </c>
      <c r="C1" s="72" t="s">
        <v>28</v>
      </c>
      <c r="D1" s="72" t="s">
        <v>29</v>
      </c>
      <c r="E1" s="72" t="s">
        <v>113</v>
      </c>
      <c r="F1" s="72" t="s">
        <v>70</v>
      </c>
      <c r="G1" s="72" t="s">
        <v>14</v>
      </c>
      <c r="H1" s="72" t="s">
        <v>30</v>
      </c>
      <c r="I1" s="72" t="s">
        <v>31</v>
      </c>
      <c r="J1" s="72" t="s">
        <v>32</v>
      </c>
      <c r="K1" s="72" t="s">
        <v>33</v>
      </c>
      <c r="L1" s="72" t="s">
        <v>34</v>
      </c>
      <c r="M1" s="72" t="s">
        <v>35</v>
      </c>
      <c r="N1" s="72" t="s">
        <v>36</v>
      </c>
      <c r="O1" s="72" t="s">
        <v>37</v>
      </c>
      <c r="P1" s="72" t="s">
        <v>38</v>
      </c>
      <c r="Q1" s="72" t="s">
        <v>39</v>
      </c>
      <c r="R1" s="72" t="s">
        <v>40</v>
      </c>
      <c r="S1" s="72" t="s">
        <v>41</v>
      </c>
      <c r="T1" s="72" t="s">
        <v>42</v>
      </c>
      <c r="U1" s="72" t="s">
        <v>17</v>
      </c>
      <c r="V1" s="72" t="s">
        <v>43</v>
      </c>
      <c r="W1" s="72" t="s">
        <v>44</v>
      </c>
      <c r="X1" s="72" t="s">
        <v>125</v>
      </c>
      <c r="Y1" s="72" t="s">
        <v>45</v>
      </c>
      <c r="Z1" s="72" t="s">
        <v>46</v>
      </c>
      <c r="AA1" s="72" t="s">
        <v>72</v>
      </c>
      <c r="AB1" s="72" t="s">
        <v>73</v>
      </c>
      <c r="AC1" s="72" t="s">
        <v>47</v>
      </c>
      <c r="AD1" s="72" t="s">
        <v>48</v>
      </c>
      <c r="AE1" s="72" t="s">
        <v>49</v>
      </c>
      <c r="AF1" s="72" t="s">
        <v>50</v>
      </c>
      <c r="AG1" s="72" t="s">
        <v>13</v>
      </c>
      <c r="AH1" s="72" t="s">
        <v>71</v>
      </c>
      <c r="AI1" s="72" t="s">
        <v>51</v>
      </c>
      <c r="AJ1" s="72" t="s">
        <v>52</v>
      </c>
      <c r="AK1" s="72" t="s">
        <v>53</v>
      </c>
      <c r="AL1" s="72" t="s">
        <v>85</v>
      </c>
      <c r="AM1" s="72" t="s">
        <v>86</v>
      </c>
      <c r="AN1" s="72" t="s">
        <v>87</v>
      </c>
      <c r="AO1" s="72" t="s">
        <v>54</v>
      </c>
    </row>
    <row r="2" spans="1:41">
      <c r="A2" s="73">
        <v>37924</v>
      </c>
      <c r="B2" s="74" t="s">
        <v>62</v>
      </c>
      <c r="C2" s="74">
        <v>15</v>
      </c>
      <c r="D2" s="74" t="s">
        <v>56</v>
      </c>
      <c r="E2" s="74" t="s">
        <v>130</v>
      </c>
      <c r="F2" s="74">
        <v>2003</v>
      </c>
      <c r="G2" s="74" t="s">
        <v>16</v>
      </c>
      <c r="H2" s="74">
        <v>45</v>
      </c>
      <c r="I2" s="74">
        <v>0</v>
      </c>
      <c r="J2" s="74">
        <v>0</v>
      </c>
      <c r="K2" s="74">
        <v>0</v>
      </c>
      <c r="L2" s="74">
        <v>0</v>
      </c>
      <c r="M2" s="74">
        <v>0</v>
      </c>
      <c r="N2" s="74">
        <v>0</v>
      </c>
      <c r="O2" s="74">
        <v>0</v>
      </c>
      <c r="P2" s="74">
        <v>0</v>
      </c>
      <c r="Q2" s="74">
        <v>0</v>
      </c>
      <c r="R2" s="74">
        <v>0</v>
      </c>
      <c r="S2" s="74">
        <v>0</v>
      </c>
      <c r="T2" s="74">
        <v>0</v>
      </c>
      <c r="U2" s="74">
        <v>0</v>
      </c>
      <c r="V2" s="74">
        <v>0</v>
      </c>
      <c r="W2" s="74">
        <v>0</v>
      </c>
      <c r="X2" s="74">
        <v>0</v>
      </c>
      <c r="Y2" s="74">
        <v>0</v>
      </c>
      <c r="Z2" s="74">
        <v>0</v>
      </c>
      <c r="AA2" s="74">
        <v>0</v>
      </c>
      <c r="AB2" s="74">
        <v>0</v>
      </c>
      <c r="AC2" s="74">
        <v>0</v>
      </c>
      <c r="AD2" s="74">
        <v>0</v>
      </c>
      <c r="AE2" s="74">
        <v>0</v>
      </c>
      <c r="AF2" s="74">
        <v>0</v>
      </c>
      <c r="AG2" s="74">
        <v>1</v>
      </c>
      <c r="AH2" s="74">
        <v>0</v>
      </c>
      <c r="AI2" s="74">
        <v>0</v>
      </c>
      <c r="AJ2" s="74">
        <v>46</v>
      </c>
      <c r="AK2" s="74">
        <v>2</v>
      </c>
      <c r="AL2" s="74">
        <v>1.2</v>
      </c>
      <c r="AM2" s="74"/>
      <c r="AN2" s="74"/>
      <c r="AO2" s="74"/>
    </row>
    <row r="3" spans="1:41">
      <c r="A3" s="73">
        <v>37911</v>
      </c>
      <c r="B3" s="74" t="s">
        <v>62</v>
      </c>
      <c r="C3" s="74">
        <v>24</v>
      </c>
      <c r="D3" s="74" t="s">
        <v>56</v>
      </c>
      <c r="E3" s="74" t="s">
        <v>130</v>
      </c>
      <c r="F3" s="74">
        <v>2003</v>
      </c>
      <c r="G3" s="74" t="s">
        <v>16</v>
      </c>
      <c r="H3" s="74">
        <v>4</v>
      </c>
      <c r="I3" s="74">
        <v>0</v>
      </c>
      <c r="J3" s="74">
        <v>0</v>
      </c>
      <c r="K3" s="74">
        <v>0</v>
      </c>
      <c r="L3" s="74">
        <v>0</v>
      </c>
      <c r="M3" s="74">
        <v>0</v>
      </c>
      <c r="N3" s="74">
        <v>0</v>
      </c>
      <c r="O3" s="74">
        <v>0</v>
      </c>
      <c r="P3" s="74">
        <v>0</v>
      </c>
      <c r="Q3" s="74">
        <v>0</v>
      </c>
      <c r="R3" s="74">
        <v>0</v>
      </c>
      <c r="S3" s="74">
        <v>0</v>
      </c>
      <c r="T3" s="74">
        <v>0</v>
      </c>
      <c r="U3" s="74">
        <v>0</v>
      </c>
      <c r="V3" s="74">
        <v>0</v>
      </c>
      <c r="W3" s="74">
        <v>0</v>
      </c>
      <c r="X3" s="74">
        <v>0</v>
      </c>
      <c r="Y3" s="74">
        <v>0</v>
      </c>
      <c r="Z3" s="74">
        <v>0</v>
      </c>
      <c r="AA3" s="74">
        <v>0</v>
      </c>
      <c r="AB3" s="74">
        <v>0</v>
      </c>
      <c r="AC3" s="74">
        <v>0</v>
      </c>
      <c r="AD3" s="74">
        <v>0</v>
      </c>
      <c r="AE3" s="74">
        <v>0</v>
      </c>
      <c r="AF3" s="74">
        <v>0</v>
      </c>
      <c r="AG3" s="74">
        <v>0</v>
      </c>
      <c r="AH3" s="74">
        <v>0</v>
      </c>
      <c r="AI3" s="74">
        <v>0</v>
      </c>
      <c r="AJ3" s="74">
        <v>4</v>
      </c>
      <c r="AK3" s="74">
        <v>1</v>
      </c>
      <c r="AL3" s="74">
        <v>3.1</v>
      </c>
      <c r="AM3" s="74"/>
      <c r="AN3" s="74"/>
      <c r="AO3" s="74"/>
    </row>
    <row r="4" spans="1:41">
      <c r="A4" s="73">
        <v>37910</v>
      </c>
      <c r="B4" s="74" t="s">
        <v>62</v>
      </c>
      <c r="C4" s="74">
        <v>20.5</v>
      </c>
      <c r="D4" s="74" t="s">
        <v>56</v>
      </c>
      <c r="E4" s="74" t="s">
        <v>130</v>
      </c>
      <c r="F4" s="74">
        <v>2003</v>
      </c>
      <c r="G4" s="74" t="s">
        <v>16</v>
      </c>
      <c r="H4" s="74">
        <v>4</v>
      </c>
      <c r="I4" s="74">
        <v>0</v>
      </c>
      <c r="J4" s="74">
        <v>0</v>
      </c>
      <c r="K4" s="74">
        <v>0</v>
      </c>
      <c r="L4" s="74">
        <v>0</v>
      </c>
      <c r="M4" s="74">
        <v>0</v>
      </c>
      <c r="N4" s="74">
        <v>0</v>
      </c>
      <c r="O4" s="74">
        <v>0</v>
      </c>
      <c r="P4" s="74">
        <v>0</v>
      </c>
      <c r="Q4" s="74">
        <v>0</v>
      </c>
      <c r="R4" s="74">
        <v>0</v>
      </c>
      <c r="S4" s="74">
        <v>0</v>
      </c>
      <c r="T4" s="74">
        <v>0</v>
      </c>
      <c r="U4" s="74">
        <v>0</v>
      </c>
      <c r="V4" s="74">
        <v>0</v>
      </c>
      <c r="W4" s="74">
        <v>0</v>
      </c>
      <c r="X4" s="74">
        <v>0</v>
      </c>
      <c r="Y4" s="74">
        <v>0</v>
      </c>
      <c r="Z4" s="74">
        <v>0</v>
      </c>
      <c r="AA4" s="74">
        <v>0</v>
      </c>
      <c r="AB4" s="74">
        <v>0</v>
      </c>
      <c r="AC4" s="74">
        <v>0</v>
      </c>
      <c r="AD4" s="74">
        <v>0</v>
      </c>
      <c r="AE4" s="74">
        <v>0</v>
      </c>
      <c r="AF4" s="74">
        <v>0</v>
      </c>
      <c r="AG4" s="74">
        <v>0</v>
      </c>
      <c r="AH4" s="74">
        <v>0</v>
      </c>
      <c r="AI4" s="74">
        <v>0</v>
      </c>
      <c r="AJ4" s="74">
        <v>4</v>
      </c>
      <c r="AK4" s="74">
        <v>1</v>
      </c>
      <c r="AL4" s="74">
        <v>1.3</v>
      </c>
      <c r="AM4" s="74"/>
      <c r="AN4" s="74"/>
      <c r="AO4" s="74"/>
    </row>
    <row r="5" spans="1:41">
      <c r="A5" s="73">
        <v>37896</v>
      </c>
      <c r="B5" s="74" t="s">
        <v>62</v>
      </c>
      <c r="C5" s="74">
        <v>23</v>
      </c>
      <c r="D5" s="74" t="s">
        <v>56</v>
      </c>
      <c r="E5" s="74" t="s">
        <v>130</v>
      </c>
      <c r="F5" s="74">
        <v>2003</v>
      </c>
      <c r="G5" s="74" t="s">
        <v>16</v>
      </c>
      <c r="H5" s="74">
        <v>65</v>
      </c>
      <c r="I5" s="74">
        <v>0</v>
      </c>
      <c r="J5" s="74">
        <v>0</v>
      </c>
      <c r="K5" s="74">
        <v>0</v>
      </c>
      <c r="L5" s="74">
        <v>0</v>
      </c>
      <c r="M5" s="74"/>
      <c r="N5" s="74"/>
      <c r="O5" s="74"/>
      <c r="P5" s="74"/>
      <c r="Q5" s="74">
        <v>0</v>
      </c>
      <c r="R5" s="74">
        <v>0</v>
      </c>
      <c r="S5" s="74">
        <v>0</v>
      </c>
      <c r="T5" s="74">
        <v>0</v>
      </c>
      <c r="U5" s="74">
        <v>0</v>
      </c>
      <c r="V5" s="74">
        <v>0</v>
      </c>
      <c r="W5" s="74">
        <v>0</v>
      </c>
      <c r="X5" s="74">
        <v>0</v>
      </c>
      <c r="Y5" s="74">
        <v>0</v>
      </c>
      <c r="Z5" s="74">
        <v>0</v>
      </c>
      <c r="AA5" s="74">
        <v>0</v>
      </c>
      <c r="AB5" s="74">
        <v>0</v>
      </c>
      <c r="AC5" s="74">
        <v>0</v>
      </c>
      <c r="AD5" s="74">
        <v>0</v>
      </c>
      <c r="AE5" s="74">
        <v>0</v>
      </c>
      <c r="AF5" s="74">
        <v>0</v>
      </c>
      <c r="AG5" s="74">
        <v>0</v>
      </c>
      <c r="AH5" s="74">
        <v>0</v>
      </c>
      <c r="AI5" s="74">
        <v>0</v>
      </c>
      <c r="AJ5" s="74">
        <v>65</v>
      </c>
      <c r="AK5" s="74">
        <v>1</v>
      </c>
      <c r="AL5" s="74">
        <v>1.6</v>
      </c>
      <c r="AM5" s="74"/>
      <c r="AN5" s="74"/>
      <c r="AO5" s="74"/>
    </row>
    <row r="6" spans="1:41">
      <c r="A6" s="73">
        <v>37895</v>
      </c>
      <c r="B6" s="74" t="s">
        <v>62</v>
      </c>
      <c r="C6" s="74">
        <v>24.5</v>
      </c>
      <c r="D6" s="74" t="s">
        <v>56</v>
      </c>
      <c r="E6" s="74" t="s">
        <v>130</v>
      </c>
      <c r="F6" s="74">
        <v>2003</v>
      </c>
      <c r="G6" s="74" t="s">
        <v>16</v>
      </c>
      <c r="H6" s="74">
        <v>114</v>
      </c>
      <c r="I6" s="74">
        <v>0</v>
      </c>
      <c r="J6" s="74">
        <v>0</v>
      </c>
      <c r="K6" s="74">
        <v>0</v>
      </c>
      <c r="L6" s="74">
        <v>0</v>
      </c>
      <c r="M6" s="74">
        <v>0</v>
      </c>
      <c r="N6" s="74">
        <v>0</v>
      </c>
      <c r="O6" s="74">
        <v>0</v>
      </c>
      <c r="P6" s="74">
        <v>0</v>
      </c>
      <c r="Q6" s="74">
        <v>0</v>
      </c>
      <c r="R6" s="74">
        <v>0</v>
      </c>
      <c r="S6" s="74">
        <v>1</v>
      </c>
      <c r="T6" s="74">
        <v>0</v>
      </c>
      <c r="U6" s="74">
        <v>0</v>
      </c>
      <c r="V6" s="74">
        <v>0</v>
      </c>
      <c r="W6" s="74">
        <v>0</v>
      </c>
      <c r="X6" s="74">
        <v>0</v>
      </c>
      <c r="Y6" s="74"/>
      <c r="Z6" s="74">
        <v>0</v>
      </c>
      <c r="AA6" s="74">
        <v>0</v>
      </c>
      <c r="AB6" s="74">
        <v>0</v>
      </c>
      <c r="AC6" s="74">
        <v>0</v>
      </c>
      <c r="AD6" s="74">
        <v>0</v>
      </c>
      <c r="AE6" s="74">
        <v>0</v>
      </c>
      <c r="AF6" s="74">
        <v>0</v>
      </c>
      <c r="AG6" s="74">
        <v>0</v>
      </c>
      <c r="AH6" s="74">
        <v>0</v>
      </c>
      <c r="AI6" s="74">
        <v>0</v>
      </c>
      <c r="AJ6" s="74">
        <v>115</v>
      </c>
      <c r="AK6" s="74">
        <v>2</v>
      </c>
      <c r="AL6" s="74">
        <v>1.6</v>
      </c>
      <c r="AM6" s="74">
        <v>5</v>
      </c>
      <c r="AN6" s="74"/>
      <c r="AO6" s="74"/>
    </row>
    <row r="7" spans="1:41">
      <c r="A7" s="73">
        <v>37894</v>
      </c>
      <c r="B7" s="74" t="s">
        <v>62</v>
      </c>
      <c r="C7" s="74">
        <v>23.5</v>
      </c>
      <c r="D7" s="74" t="s">
        <v>56</v>
      </c>
      <c r="E7" s="74" t="s">
        <v>130</v>
      </c>
      <c r="F7" s="74">
        <v>2003</v>
      </c>
      <c r="G7" s="74" t="s">
        <v>16</v>
      </c>
      <c r="H7" s="74">
        <v>127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  <c r="N7" s="74">
        <v>0</v>
      </c>
      <c r="O7" s="74">
        <v>0</v>
      </c>
      <c r="P7" s="74">
        <v>0</v>
      </c>
      <c r="Q7" s="74">
        <v>0</v>
      </c>
      <c r="R7" s="74">
        <v>0</v>
      </c>
      <c r="S7" s="74">
        <v>0</v>
      </c>
      <c r="T7" s="74">
        <v>0</v>
      </c>
      <c r="U7" s="74">
        <v>0</v>
      </c>
      <c r="V7" s="74">
        <v>0</v>
      </c>
      <c r="W7" s="74">
        <v>0</v>
      </c>
      <c r="X7" s="74">
        <v>0</v>
      </c>
      <c r="Y7" s="74">
        <v>1</v>
      </c>
      <c r="Z7" s="74">
        <v>0</v>
      </c>
      <c r="AA7" s="74">
        <v>0</v>
      </c>
      <c r="AB7" s="74">
        <v>0</v>
      </c>
      <c r="AC7" s="74">
        <v>0</v>
      </c>
      <c r="AD7" s="74">
        <v>0</v>
      </c>
      <c r="AE7" s="74">
        <v>0</v>
      </c>
      <c r="AF7" s="74">
        <v>0</v>
      </c>
      <c r="AG7" s="74">
        <v>0</v>
      </c>
      <c r="AH7" s="74">
        <v>0</v>
      </c>
      <c r="AI7" s="74">
        <v>0</v>
      </c>
      <c r="AJ7" s="74">
        <v>128</v>
      </c>
      <c r="AK7" s="74">
        <v>2</v>
      </c>
      <c r="AL7" s="74">
        <v>1.8</v>
      </c>
      <c r="AM7" s="74"/>
      <c r="AN7" s="74"/>
      <c r="AO7" s="74"/>
    </row>
    <row r="8" spans="1:41" ht="13.5" thickBot="1">
      <c r="A8" s="70">
        <v>37893</v>
      </c>
      <c r="B8" s="71" t="s">
        <v>62</v>
      </c>
      <c r="C8" s="71">
        <v>23.5</v>
      </c>
      <c r="D8" s="71" t="s">
        <v>56</v>
      </c>
      <c r="E8" s="71" t="s">
        <v>130</v>
      </c>
      <c r="F8" s="71">
        <v>2003</v>
      </c>
      <c r="G8" s="71" t="s">
        <v>16</v>
      </c>
      <c r="H8" s="71">
        <v>134</v>
      </c>
      <c r="I8" s="71">
        <v>0</v>
      </c>
      <c r="J8" s="71">
        <v>0</v>
      </c>
      <c r="K8" s="71">
        <v>0</v>
      </c>
      <c r="L8" s="71">
        <v>0</v>
      </c>
      <c r="M8" s="71">
        <v>0</v>
      </c>
      <c r="N8" s="71">
        <v>0</v>
      </c>
      <c r="O8" s="71">
        <v>0</v>
      </c>
      <c r="P8" s="71">
        <v>0</v>
      </c>
      <c r="Q8" s="71">
        <v>0</v>
      </c>
      <c r="R8" s="71">
        <v>0</v>
      </c>
      <c r="S8" s="71">
        <v>0</v>
      </c>
      <c r="T8" s="71">
        <v>0</v>
      </c>
      <c r="U8" s="71">
        <v>1</v>
      </c>
      <c r="V8" s="71">
        <v>0</v>
      </c>
      <c r="W8" s="71">
        <v>0</v>
      </c>
      <c r="X8" s="71">
        <v>0</v>
      </c>
      <c r="Y8" s="71">
        <v>0</v>
      </c>
      <c r="Z8" s="71">
        <v>0</v>
      </c>
      <c r="AA8" s="71">
        <v>0</v>
      </c>
      <c r="AB8" s="71">
        <v>0</v>
      </c>
      <c r="AC8" s="71">
        <v>0</v>
      </c>
      <c r="AD8" s="71">
        <v>0</v>
      </c>
      <c r="AE8" s="71">
        <v>0</v>
      </c>
      <c r="AF8" s="71">
        <v>0</v>
      </c>
      <c r="AG8" s="71">
        <v>0</v>
      </c>
      <c r="AH8" s="71">
        <v>0</v>
      </c>
      <c r="AI8" s="71">
        <v>0</v>
      </c>
      <c r="AJ8" s="71">
        <v>135</v>
      </c>
      <c r="AK8" s="71">
        <v>2</v>
      </c>
      <c r="AL8" s="71"/>
      <c r="AM8" s="71"/>
      <c r="AN8" s="71"/>
      <c r="AO8" s="7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  data  </vt:lpstr>
      <vt:lpstr>  data  no zero</vt:lpstr>
      <vt:lpstr>Sheet3</vt:lpstr>
      <vt:lpstr>pivot charts</vt:lpstr>
      <vt:lpstr>mummichogs</vt:lpstr>
      <vt:lpstr>species diversity</vt:lpstr>
      <vt:lpstr>Sheet2</vt:lpstr>
      <vt:lpstr>mummichogs!Print_Area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saltmarsh</cp:lastModifiedBy>
  <cp:lastPrinted>2014-01-14T17:08:11Z</cp:lastPrinted>
  <dcterms:created xsi:type="dcterms:W3CDTF">1998-11-10T20:39:15Z</dcterms:created>
  <dcterms:modified xsi:type="dcterms:W3CDTF">2014-10-23T17:37:30Z</dcterms:modified>
</cp:coreProperties>
</file>